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jcourbin\OneDrive - FONDATION ABBE PIERRE\Bureau\Gefosat cout d'usage\Moulinettes 2024\"/>
    </mc:Choice>
  </mc:AlternateContent>
  <xr:revisionPtr revIDLastSave="0" documentId="13_ncr:1_{272D7BA5-8E10-4C67-8D38-D48201BC21DA}" xr6:coauthVersionLast="36" xr6:coauthVersionMax="47" xr10:uidLastSave="{00000000-0000-0000-0000-000000000000}"/>
  <bookViews>
    <workbookView xWindow="-28920" yWindow="-120" windowWidth="29040" windowHeight="15840" tabRatio="500" xr2:uid="{00000000-000D-0000-FFFF-FFFF00000000}"/>
  </bookViews>
  <sheets>
    <sheet name="Accueil" sheetId="9" r:id="rId1"/>
    <sheet name="Saisie Bât neuf" sheetId="1" r:id="rId2"/>
    <sheet name="Résultat Bât neuf" sheetId="2" r:id="rId3"/>
    <sheet name="calculs Bât neuf" sheetId="3" state="hidden" r:id="rId4"/>
    <sheet name="Cheque Energie" sheetId="5" state="hidden" r:id="rId5"/>
    <sheet name="Ressources" sheetId="6" state="hidden" r:id="rId6"/>
    <sheet name="Référence&amp;tarifs" sheetId="7" state="hidden" r:id="rId7"/>
    <sheet name="FAQ Excel" sheetId="8" state="hidden" r:id="rId8"/>
  </sheets>
  <externalReferences>
    <externalReference r:id="rId9"/>
  </externalReferences>
  <definedNames>
    <definedName name="annee" localSheetId="0">[1]Feuil1!$C$5:$C$6</definedName>
    <definedName name="annee">#REF!</definedName>
    <definedName name="cuisson" localSheetId="0">'[1]élts calculs lgt ind'!$AC$40:$AC$42</definedName>
    <definedName name="cuisson">'calculs Bât neuf'!$X$40:$X$42</definedName>
    <definedName name="cuisson2" localSheetId="0">[1]Feuil1!$B$71:$B$72</definedName>
    <definedName name="cuisson2">#REF!</definedName>
    <definedName name="mitoyennete" localSheetId="0">'[1]élts calculs lgt ind'!$AC$32:$AC$34</definedName>
    <definedName name="mitoyennete">'calculs Bât neuf'!$X$32:$X$34</definedName>
    <definedName name="naturerevenu">'calculs Bât neuf'!$AK$23:$AK$27</definedName>
    <definedName name="oui" localSheetId="0">[1]Feuil1!$B$75:$B$76</definedName>
    <definedName name="oui">#REF!</definedName>
    <definedName name="position" localSheetId="0">[1]Feuil1!$D$73:$D$75</definedName>
    <definedName name="position">#REF!</definedName>
    <definedName name="typechauffage">'calculs Bât neuf'!$AR$37:$AR$48</definedName>
    <definedName name="typedelogement" localSheetId="0">'[1]élts calculs lgt ind'!$AC$29:$AC$30</definedName>
    <definedName name="typedelogement">'calculs Bât neuf'!$X$29:$X$30</definedName>
    <definedName name="typeecs" localSheetId="0">'[1]élts calculs lgt ind'!$AX$21:$AX$34</definedName>
    <definedName name="typeecs">'calculs Bât neuf'!$BB$21:$BB$29</definedName>
    <definedName name="typeiso" localSheetId="0">'[1]élts calculs lgt ind'!$AC$23:$AC$24</definedName>
    <definedName name="typeiso">'calculs Bât neuf'!$X$23:$X$24</definedName>
    <definedName name="typereno" localSheetId="0">'[1]élts calculs lgt ind'!$AC$26:$AC$27</definedName>
    <definedName name="typereno">'calculs Bât neuf'!$X$26:$X$27</definedName>
    <definedName name="ventilation">'calculs Bât neuf'!$X$36:$X$38</definedName>
    <definedName name="VILLE" localSheetId="0">'[1]élts calculs lgt ind'!$A$6:$A$67</definedName>
    <definedName name="VILLE">'calculs Bât neuf'!$A$6:$A$67</definedName>
    <definedName name="_xlnm.Print_Area" localSheetId="0">Accueil!$A$1:$R$31</definedName>
    <definedName name="_xlnm.Print_Area" localSheetId="2">'Résultat Bât neuf'!$A$2:$Y$32</definedName>
    <definedName name="_xlnm.Print_Area" localSheetId="1">'Saisie Bât neuf'!$A$1:$W$48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55" i="9" l="1"/>
  <c r="C55" i="9"/>
  <c r="D55" i="9"/>
  <c r="E55" i="9"/>
  <c r="B56" i="9"/>
  <c r="C56" i="9"/>
  <c r="D56" i="9"/>
  <c r="E56" i="9"/>
  <c r="B57" i="9"/>
  <c r="C57" i="9"/>
  <c r="D57" i="9"/>
  <c r="E57" i="9"/>
  <c r="C54" i="9"/>
  <c r="D54" i="9"/>
  <c r="E54" i="9"/>
  <c r="B54" i="9"/>
  <c r="B53" i="9"/>
  <c r="L50" i="9"/>
  <c r="A2" i="7"/>
  <c r="B26" i="7"/>
  <c r="C18" i="7"/>
  <c r="C17" i="7"/>
  <c r="B17" i="7"/>
  <c r="C7" i="7"/>
  <c r="C8" i="7" s="1"/>
  <c r="C9" i="7" s="1"/>
  <c r="C10" i="7" s="1"/>
  <c r="J6" i="3" l="1"/>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AI9" i="3" s="1"/>
  <c r="AJ9" i="3" s="1"/>
  <c r="H63" i="3"/>
  <c r="H64" i="3"/>
  <c r="H65" i="3"/>
  <c r="H66" i="3"/>
  <c r="H67" i="3"/>
  <c r="H6" i="3"/>
  <c r="AI6" i="3"/>
  <c r="AI7" i="3"/>
  <c r="AJ7" i="3" s="1"/>
  <c r="AI8" i="3"/>
  <c r="G10" i="1"/>
  <c r="L5" i="2"/>
  <c r="F8" i="2" l="1"/>
  <c r="AJ8" i="3"/>
  <c r="F6" i="2"/>
  <c r="AJ6" i="3"/>
  <c r="F9" i="2"/>
  <c r="F7" i="2"/>
  <c r="AI5" i="3"/>
  <c r="AJ5" i="3" s="1"/>
  <c r="AR26" i="3"/>
  <c r="AR25" i="3"/>
  <c r="AR24" i="3"/>
  <c r="AR23" i="3"/>
  <c r="AR22" i="3"/>
  <c r="F5" i="2" l="1"/>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 i="3"/>
  <c r="AO10" i="3" l="1"/>
  <c r="BK30" i="3"/>
  <c r="BI30" i="3"/>
  <c r="BG30" i="3"/>
  <c r="BE30" i="3"/>
  <c r="BC30" i="3"/>
  <c r="AE6" i="3" l="1"/>
  <c r="AF6" i="3" s="1"/>
  <c r="AE7" i="3"/>
  <c r="AF7" i="3" s="1"/>
  <c r="AE8" i="3"/>
  <c r="AF8" i="3" s="1"/>
  <c r="AE9" i="3"/>
  <c r="AF9" i="3" s="1"/>
  <c r="AE5" i="3"/>
  <c r="AF5" i="3" s="1"/>
  <c r="B7" i="6"/>
  <c r="B6" i="6"/>
  <c r="B5" i="6"/>
  <c r="C4" i="6"/>
  <c r="B4" i="6"/>
  <c r="J72" i="3"/>
  <c r="J73" i="3" s="1"/>
  <c r="J74" i="3" s="1"/>
  <c r="J75" i="3" s="1"/>
  <c r="J76" i="3" s="1"/>
  <c r="I72" i="3"/>
  <c r="O70" i="3"/>
  <c r="N70" i="3"/>
  <c r="M70" i="3"/>
  <c r="L70" i="3"/>
  <c r="K70" i="3"/>
  <c r="R67" i="3"/>
  <c r="Q67" i="3"/>
  <c r="P67" i="3"/>
  <c r="O67" i="3"/>
  <c r="N67" i="3"/>
  <c r="M67" i="3"/>
  <c r="L67" i="3"/>
  <c r="K67" i="3"/>
  <c r="I67" i="3"/>
  <c r="D67" i="3"/>
  <c r="R66" i="3"/>
  <c r="Q66" i="3"/>
  <c r="P66" i="3"/>
  <c r="O66" i="3"/>
  <c r="N66" i="3"/>
  <c r="M66" i="3"/>
  <c r="L66" i="3"/>
  <c r="K66" i="3"/>
  <c r="I66" i="3"/>
  <c r="D66" i="3"/>
  <c r="R65" i="3"/>
  <c r="Q65" i="3"/>
  <c r="P65" i="3"/>
  <c r="O65" i="3"/>
  <c r="N65" i="3"/>
  <c r="M65" i="3"/>
  <c r="L65" i="3"/>
  <c r="K65" i="3"/>
  <c r="I65" i="3"/>
  <c r="D65" i="3"/>
  <c r="R64" i="3"/>
  <c r="Q64" i="3"/>
  <c r="P64" i="3"/>
  <c r="O64" i="3"/>
  <c r="N64" i="3"/>
  <c r="M64" i="3"/>
  <c r="L64" i="3"/>
  <c r="K64" i="3"/>
  <c r="I64" i="3"/>
  <c r="D64" i="3"/>
  <c r="R63" i="3"/>
  <c r="Q63" i="3"/>
  <c r="P63" i="3"/>
  <c r="O63" i="3"/>
  <c r="N63" i="3"/>
  <c r="M63" i="3"/>
  <c r="L63" i="3"/>
  <c r="K63" i="3"/>
  <c r="I63" i="3"/>
  <c r="D63" i="3"/>
  <c r="R62" i="3"/>
  <c r="Q62" i="3"/>
  <c r="P62" i="3"/>
  <c r="O62" i="3"/>
  <c r="N62" i="3"/>
  <c r="M62" i="3"/>
  <c r="L62" i="3"/>
  <c r="K62" i="3"/>
  <c r="I62" i="3"/>
  <c r="D62" i="3"/>
  <c r="R61" i="3"/>
  <c r="Q61" i="3"/>
  <c r="P61" i="3"/>
  <c r="O61" i="3"/>
  <c r="N61" i="3"/>
  <c r="M61" i="3"/>
  <c r="L61" i="3"/>
  <c r="K61" i="3"/>
  <c r="I61" i="3"/>
  <c r="D61" i="3"/>
  <c r="R60" i="3"/>
  <c r="Q60" i="3"/>
  <c r="P60" i="3"/>
  <c r="O60" i="3"/>
  <c r="N60" i="3"/>
  <c r="M60" i="3"/>
  <c r="L60" i="3"/>
  <c r="K60" i="3"/>
  <c r="I60" i="3"/>
  <c r="D60" i="3"/>
  <c r="R59" i="3"/>
  <c r="Q59" i="3"/>
  <c r="P59" i="3"/>
  <c r="O59" i="3"/>
  <c r="N59" i="3"/>
  <c r="M59" i="3"/>
  <c r="L59" i="3"/>
  <c r="K59" i="3"/>
  <c r="I59" i="3"/>
  <c r="D59" i="3"/>
  <c r="R58" i="3"/>
  <c r="Q58" i="3"/>
  <c r="P58" i="3"/>
  <c r="O58" i="3"/>
  <c r="N58" i="3"/>
  <c r="M58" i="3"/>
  <c r="L58" i="3"/>
  <c r="K58" i="3"/>
  <c r="I58" i="3"/>
  <c r="D58" i="3"/>
  <c r="R57" i="3"/>
  <c r="Q57" i="3"/>
  <c r="P57" i="3"/>
  <c r="O57" i="3"/>
  <c r="N57" i="3"/>
  <c r="M57" i="3"/>
  <c r="L57" i="3"/>
  <c r="K57" i="3"/>
  <c r="I57" i="3"/>
  <c r="D57" i="3"/>
  <c r="R56" i="3"/>
  <c r="Q56" i="3"/>
  <c r="P56" i="3"/>
  <c r="O56" i="3"/>
  <c r="N56" i="3"/>
  <c r="M56" i="3"/>
  <c r="L56" i="3"/>
  <c r="K56" i="3"/>
  <c r="I56" i="3"/>
  <c r="D56" i="3"/>
  <c r="R55" i="3"/>
  <c r="Q55" i="3"/>
  <c r="P55" i="3"/>
  <c r="O55" i="3"/>
  <c r="N55" i="3"/>
  <c r="M55" i="3"/>
  <c r="L55" i="3"/>
  <c r="K55" i="3"/>
  <c r="I55" i="3"/>
  <c r="D55" i="3"/>
  <c r="R54" i="3"/>
  <c r="Q54" i="3"/>
  <c r="P54" i="3"/>
  <c r="O54" i="3"/>
  <c r="N54" i="3"/>
  <c r="M54" i="3"/>
  <c r="L54" i="3"/>
  <c r="K54" i="3"/>
  <c r="I54" i="3"/>
  <c r="D54" i="3"/>
  <c r="R53" i="3"/>
  <c r="Q53" i="3"/>
  <c r="P53" i="3"/>
  <c r="O53" i="3"/>
  <c r="N53" i="3"/>
  <c r="M53" i="3"/>
  <c r="L53" i="3"/>
  <c r="K53" i="3"/>
  <c r="I53" i="3"/>
  <c r="D53" i="3"/>
  <c r="R52" i="3"/>
  <c r="Q52" i="3"/>
  <c r="P52" i="3"/>
  <c r="O52" i="3"/>
  <c r="N52" i="3"/>
  <c r="M52" i="3"/>
  <c r="L52" i="3"/>
  <c r="K52" i="3"/>
  <c r="I52" i="3"/>
  <c r="D52" i="3"/>
  <c r="R51" i="3"/>
  <c r="Q51" i="3"/>
  <c r="P51" i="3"/>
  <c r="O51" i="3"/>
  <c r="N51" i="3"/>
  <c r="M51" i="3"/>
  <c r="L51" i="3"/>
  <c r="K51" i="3"/>
  <c r="I51" i="3"/>
  <c r="D51" i="3"/>
  <c r="R50" i="3"/>
  <c r="Q50" i="3"/>
  <c r="P50" i="3"/>
  <c r="O50" i="3"/>
  <c r="N50" i="3"/>
  <c r="M50" i="3"/>
  <c r="L50" i="3"/>
  <c r="K50" i="3"/>
  <c r="I50" i="3"/>
  <c r="D50" i="3"/>
  <c r="R49" i="3"/>
  <c r="Q49" i="3"/>
  <c r="P49" i="3"/>
  <c r="O49" i="3"/>
  <c r="N49" i="3"/>
  <c r="M49" i="3"/>
  <c r="L49" i="3"/>
  <c r="K49" i="3"/>
  <c r="I49" i="3"/>
  <c r="D49" i="3"/>
  <c r="R48" i="3"/>
  <c r="Q48" i="3"/>
  <c r="P48" i="3"/>
  <c r="O48" i="3"/>
  <c r="N48" i="3"/>
  <c r="M48" i="3"/>
  <c r="L48" i="3"/>
  <c r="K48" i="3"/>
  <c r="I48" i="3"/>
  <c r="D48" i="3"/>
  <c r="R47" i="3"/>
  <c r="Q47" i="3"/>
  <c r="P47" i="3"/>
  <c r="O47" i="3"/>
  <c r="N47" i="3"/>
  <c r="M47" i="3"/>
  <c r="L47" i="3"/>
  <c r="K47" i="3"/>
  <c r="I47" i="3"/>
  <c r="D47" i="3"/>
  <c r="R46" i="3"/>
  <c r="Q46" i="3"/>
  <c r="P46" i="3"/>
  <c r="O46" i="3"/>
  <c r="N46" i="3"/>
  <c r="M46" i="3"/>
  <c r="L46" i="3"/>
  <c r="K46" i="3"/>
  <c r="I46" i="3"/>
  <c r="D46" i="3"/>
  <c r="R45" i="3"/>
  <c r="Q45" i="3"/>
  <c r="P45" i="3"/>
  <c r="O45" i="3"/>
  <c r="N45" i="3"/>
  <c r="M45" i="3"/>
  <c r="L45" i="3"/>
  <c r="K45" i="3"/>
  <c r="I45" i="3"/>
  <c r="D45" i="3"/>
  <c r="R44" i="3"/>
  <c r="Q44" i="3"/>
  <c r="P44" i="3"/>
  <c r="O44" i="3"/>
  <c r="N44" i="3"/>
  <c r="M44" i="3"/>
  <c r="L44" i="3"/>
  <c r="K44" i="3"/>
  <c r="I44" i="3"/>
  <c r="D44" i="3"/>
  <c r="R43" i="3"/>
  <c r="Q43" i="3"/>
  <c r="P43" i="3"/>
  <c r="O43" i="3"/>
  <c r="N43" i="3"/>
  <c r="M43" i="3"/>
  <c r="L43" i="3"/>
  <c r="K43" i="3"/>
  <c r="I43" i="3"/>
  <c r="D43" i="3"/>
  <c r="R42" i="3"/>
  <c r="Q42" i="3"/>
  <c r="P42" i="3"/>
  <c r="O42" i="3"/>
  <c r="N42" i="3"/>
  <c r="M42" i="3"/>
  <c r="L42" i="3"/>
  <c r="K42" i="3"/>
  <c r="I42" i="3"/>
  <c r="D42" i="3"/>
  <c r="R41" i="3"/>
  <c r="Q41" i="3"/>
  <c r="P41" i="3"/>
  <c r="O41" i="3"/>
  <c r="N41" i="3"/>
  <c r="M41" i="3"/>
  <c r="L41" i="3"/>
  <c r="K41" i="3"/>
  <c r="I41" i="3"/>
  <c r="D41" i="3"/>
  <c r="R40" i="3"/>
  <c r="Q40" i="3"/>
  <c r="P40" i="3"/>
  <c r="O40" i="3"/>
  <c r="N40" i="3"/>
  <c r="M40" i="3"/>
  <c r="L40" i="3"/>
  <c r="K40" i="3"/>
  <c r="I40" i="3"/>
  <c r="D40" i="3"/>
  <c r="R39" i="3"/>
  <c r="Q39" i="3"/>
  <c r="P39" i="3"/>
  <c r="O39" i="3"/>
  <c r="N39" i="3"/>
  <c r="M39" i="3"/>
  <c r="L39" i="3"/>
  <c r="K39" i="3"/>
  <c r="I39" i="3"/>
  <c r="D39" i="3"/>
  <c r="AX38" i="3"/>
  <c r="AW38" i="3"/>
  <c r="AV38" i="3"/>
  <c r="AU38" i="3"/>
  <c r="AT38" i="3"/>
  <c r="AU46" i="3" s="1"/>
  <c r="R38" i="3"/>
  <c r="Q38" i="3"/>
  <c r="P38" i="3"/>
  <c r="O38" i="3"/>
  <c r="N38" i="3"/>
  <c r="M38" i="3"/>
  <c r="L38" i="3"/>
  <c r="K38" i="3"/>
  <c r="I38" i="3"/>
  <c r="D38" i="3"/>
  <c r="AX37" i="3"/>
  <c r="AW37" i="3"/>
  <c r="AV37" i="3"/>
  <c r="AU37" i="3"/>
  <c r="AT37" i="3"/>
  <c r="R37" i="3"/>
  <c r="Q37" i="3"/>
  <c r="P37" i="3"/>
  <c r="O37" i="3"/>
  <c r="N37" i="3"/>
  <c r="M37" i="3"/>
  <c r="L37" i="3"/>
  <c r="K37" i="3"/>
  <c r="I37" i="3"/>
  <c r="D37" i="3"/>
  <c r="R36" i="3"/>
  <c r="Q36" i="3"/>
  <c r="P36" i="3"/>
  <c r="O36" i="3"/>
  <c r="N36" i="3"/>
  <c r="M36" i="3"/>
  <c r="L36" i="3"/>
  <c r="K36" i="3"/>
  <c r="I36" i="3"/>
  <c r="D36" i="3"/>
  <c r="R35" i="3"/>
  <c r="Q35" i="3"/>
  <c r="P35" i="3"/>
  <c r="O35" i="3"/>
  <c r="N35" i="3"/>
  <c r="M35" i="3"/>
  <c r="L35" i="3"/>
  <c r="K35" i="3"/>
  <c r="I35" i="3"/>
  <c r="D35" i="3"/>
  <c r="R34" i="3"/>
  <c r="Q34" i="3"/>
  <c r="P34" i="3"/>
  <c r="O34" i="3"/>
  <c r="N34" i="3"/>
  <c r="M34" i="3"/>
  <c r="L34" i="3"/>
  <c r="K34" i="3"/>
  <c r="I34" i="3"/>
  <c r="D34" i="3"/>
  <c r="AR33" i="3"/>
  <c r="AS33" i="3" s="1"/>
  <c r="R33" i="3"/>
  <c r="Q33" i="3"/>
  <c r="P33" i="3"/>
  <c r="O33" i="3"/>
  <c r="N33" i="3"/>
  <c r="M33" i="3"/>
  <c r="L33" i="3"/>
  <c r="K33" i="3"/>
  <c r="I33" i="3"/>
  <c r="D33" i="3"/>
  <c r="AR32" i="3"/>
  <c r="AS32" i="3" s="1"/>
  <c r="R32" i="3"/>
  <c r="Q32" i="3"/>
  <c r="P32" i="3"/>
  <c r="O32" i="3"/>
  <c r="N32" i="3"/>
  <c r="M32" i="3"/>
  <c r="L32" i="3"/>
  <c r="K32" i="3"/>
  <c r="I32" i="3"/>
  <c r="D32" i="3"/>
  <c r="AR31" i="3"/>
  <c r="AS31" i="3" s="1"/>
  <c r="R31" i="3"/>
  <c r="Q31" i="3"/>
  <c r="P31" i="3"/>
  <c r="O31" i="3"/>
  <c r="N31" i="3"/>
  <c r="M31" i="3"/>
  <c r="L31" i="3"/>
  <c r="K31" i="3"/>
  <c r="I31" i="3"/>
  <c r="D31" i="3"/>
  <c r="AR30" i="3"/>
  <c r="AS30" i="3" s="1"/>
  <c r="R30" i="3"/>
  <c r="Q30" i="3"/>
  <c r="P30" i="3"/>
  <c r="O30" i="3"/>
  <c r="N30" i="3"/>
  <c r="M30" i="3"/>
  <c r="L30" i="3"/>
  <c r="K30" i="3"/>
  <c r="I30" i="3"/>
  <c r="D30" i="3"/>
  <c r="AR29" i="3"/>
  <c r="R29" i="3"/>
  <c r="Q29" i="3"/>
  <c r="P29" i="3"/>
  <c r="O29" i="3"/>
  <c r="N29" i="3"/>
  <c r="M29" i="3"/>
  <c r="L29" i="3"/>
  <c r="K29" i="3"/>
  <c r="I29" i="3"/>
  <c r="D29" i="3"/>
  <c r="R28" i="3"/>
  <c r="Q28" i="3"/>
  <c r="P28" i="3"/>
  <c r="O28" i="3"/>
  <c r="N28" i="3"/>
  <c r="M28" i="3"/>
  <c r="L28" i="3"/>
  <c r="K28" i="3"/>
  <c r="I28" i="3"/>
  <c r="D28" i="3"/>
  <c r="R27" i="3"/>
  <c r="Q27" i="3"/>
  <c r="P27" i="3"/>
  <c r="O27" i="3"/>
  <c r="N27" i="3"/>
  <c r="M27" i="3"/>
  <c r="L27" i="3"/>
  <c r="K27" i="3"/>
  <c r="I27" i="3"/>
  <c r="D27" i="3"/>
  <c r="R26" i="3"/>
  <c r="Q26" i="3"/>
  <c r="P26" i="3"/>
  <c r="O26" i="3"/>
  <c r="N26" i="3"/>
  <c r="M26" i="3"/>
  <c r="L26" i="3"/>
  <c r="K26" i="3"/>
  <c r="I26" i="3"/>
  <c r="D26" i="3"/>
  <c r="R25" i="3"/>
  <c r="Q25" i="3"/>
  <c r="P25" i="3"/>
  <c r="O25" i="3"/>
  <c r="N25" i="3"/>
  <c r="M25" i="3"/>
  <c r="L25" i="3"/>
  <c r="K25" i="3"/>
  <c r="I25" i="3"/>
  <c r="D25" i="3"/>
  <c r="F25" i="3" s="1"/>
  <c r="R24" i="3"/>
  <c r="Q24" i="3"/>
  <c r="P24" i="3"/>
  <c r="O24" i="3"/>
  <c r="N24" i="3"/>
  <c r="M24" i="3"/>
  <c r="L24" i="3"/>
  <c r="K24" i="3"/>
  <c r="I24" i="3"/>
  <c r="D24" i="3"/>
  <c r="R23" i="3"/>
  <c r="Q23" i="3"/>
  <c r="P23" i="3"/>
  <c r="O23" i="3"/>
  <c r="N23" i="3"/>
  <c r="M23" i="3"/>
  <c r="L23" i="3"/>
  <c r="K23" i="3"/>
  <c r="I23" i="3"/>
  <c r="D23" i="3"/>
  <c r="R22" i="3"/>
  <c r="Q22" i="3"/>
  <c r="P22" i="3"/>
  <c r="O22" i="3"/>
  <c r="N22" i="3"/>
  <c r="M22" i="3"/>
  <c r="L22" i="3"/>
  <c r="K22" i="3"/>
  <c r="I22" i="3"/>
  <c r="D22" i="3"/>
  <c r="R21" i="3"/>
  <c r="Q21" i="3"/>
  <c r="P21" i="3"/>
  <c r="O21" i="3"/>
  <c r="N21" i="3"/>
  <c r="M21" i="3"/>
  <c r="L21" i="3"/>
  <c r="K21" i="3"/>
  <c r="I21" i="3"/>
  <c r="D21" i="3"/>
  <c r="R20" i="3"/>
  <c r="Q20" i="3"/>
  <c r="P20" i="3"/>
  <c r="O20" i="3"/>
  <c r="N20" i="3"/>
  <c r="M20" i="3"/>
  <c r="L20" i="3"/>
  <c r="K20" i="3"/>
  <c r="I20" i="3"/>
  <c r="D20" i="3"/>
  <c r="R19" i="3"/>
  <c r="Q19" i="3"/>
  <c r="P19" i="3"/>
  <c r="O19" i="3"/>
  <c r="N19" i="3"/>
  <c r="M19" i="3"/>
  <c r="L19" i="3"/>
  <c r="K19" i="3"/>
  <c r="I19" i="3"/>
  <c r="D19" i="3"/>
  <c r="R18" i="3"/>
  <c r="Q18" i="3"/>
  <c r="P18" i="3"/>
  <c r="O18" i="3"/>
  <c r="N18" i="3"/>
  <c r="M18" i="3"/>
  <c r="L18" i="3"/>
  <c r="K18" i="3"/>
  <c r="I18" i="3"/>
  <c r="D18" i="3"/>
  <c r="R17" i="3"/>
  <c r="Q17" i="3"/>
  <c r="P17" i="3"/>
  <c r="O17" i="3"/>
  <c r="N17" i="3"/>
  <c r="M17" i="3"/>
  <c r="L17" i="3"/>
  <c r="K17" i="3"/>
  <c r="I17" i="3"/>
  <c r="D17" i="3"/>
  <c r="BB16" i="3"/>
  <c r="R16" i="3"/>
  <c r="Q16" i="3"/>
  <c r="P16" i="3"/>
  <c r="O16" i="3"/>
  <c r="N16" i="3"/>
  <c r="M16" i="3"/>
  <c r="L16" i="3"/>
  <c r="K16" i="3"/>
  <c r="I16" i="3"/>
  <c r="D16" i="3"/>
  <c r="BK15" i="3"/>
  <c r="BL15" i="3" s="1"/>
  <c r="BI15" i="3"/>
  <c r="BJ15" i="3" s="1"/>
  <c r="BG15" i="3"/>
  <c r="BH15" i="3" s="1"/>
  <c r="BE15" i="3"/>
  <c r="BF15" i="3" s="1"/>
  <c r="BC15" i="3"/>
  <c r="BD15" i="3" s="1"/>
  <c r="R15" i="3"/>
  <c r="Q15" i="3"/>
  <c r="P15" i="3"/>
  <c r="O15" i="3"/>
  <c r="N15" i="3"/>
  <c r="M15" i="3"/>
  <c r="L15" i="3"/>
  <c r="K15" i="3"/>
  <c r="I15" i="3"/>
  <c r="D15" i="3"/>
  <c r="BK14" i="3"/>
  <c r="BL14" i="3" s="1"/>
  <c r="BI14" i="3"/>
  <c r="BJ14" i="3" s="1"/>
  <c r="BG14" i="3"/>
  <c r="BH14" i="3" s="1"/>
  <c r="BE14" i="3"/>
  <c r="BF14" i="3" s="1"/>
  <c r="BC14" i="3"/>
  <c r="BD14" i="3" s="1"/>
  <c r="R14" i="3"/>
  <c r="Q14" i="3"/>
  <c r="P14" i="3"/>
  <c r="O14" i="3"/>
  <c r="N14" i="3"/>
  <c r="M14" i="3"/>
  <c r="L14" i="3"/>
  <c r="K14" i="3"/>
  <c r="I14" i="3"/>
  <c r="D14" i="3"/>
  <c r="BK13" i="3"/>
  <c r="BL13" i="3" s="1"/>
  <c r="BI13" i="3"/>
  <c r="BJ13" i="3" s="1"/>
  <c r="BG13" i="3"/>
  <c r="BH13" i="3" s="1"/>
  <c r="BE13" i="3"/>
  <c r="BF13" i="3" s="1"/>
  <c r="BC13" i="3"/>
  <c r="BD13" i="3" s="1"/>
  <c r="R13" i="3"/>
  <c r="Q13" i="3"/>
  <c r="P13" i="3"/>
  <c r="O13" i="3"/>
  <c r="N13" i="3"/>
  <c r="M13" i="3"/>
  <c r="L13" i="3"/>
  <c r="K13" i="3"/>
  <c r="I13" i="3"/>
  <c r="D13" i="3"/>
  <c r="BK12" i="3"/>
  <c r="BL12" i="3" s="1"/>
  <c r="BI12" i="3"/>
  <c r="BJ12" i="3" s="1"/>
  <c r="BG12" i="3"/>
  <c r="BH12" i="3" s="1"/>
  <c r="BE12" i="3"/>
  <c r="BF12" i="3" s="1"/>
  <c r="BC12" i="3"/>
  <c r="BD12" i="3" s="1"/>
  <c r="R12" i="3"/>
  <c r="Q12" i="3"/>
  <c r="P12" i="3"/>
  <c r="O12" i="3"/>
  <c r="N12" i="3"/>
  <c r="M12" i="3"/>
  <c r="L12" i="3"/>
  <c r="K12" i="3"/>
  <c r="I12" i="3"/>
  <c r="D12" i="3"/>
  <c r="BK11" i="3"/>
  <c r="BL11" i="3" s="1"/>
  <c r="BI11" i="3"/>
  <c r="BG11" i="3"/>
  <c r="BH11" i="3" s="1"/>
  <c r="BE11" i="3"/>
  <c r="BC11" i="3"/>
  <c r="BD11" i="3" s="1"/>
  <c r="R11" i="3"/>
  <c r="Q11" i="3"/>
  <c r="P11" i="3"/>
  <c r="O11" i="3"/>
  <c r="N11" i="3"/>
  <c r="M11" i="3"/>
  <c r="L11" i="3"/>
  <c r="K11" i="3"/>
  <c r="I11" i="3"/>
  <c r="D11" i="3"/>
  <c r="AP10" i="3"/>
  <c r="AQ10" i="3" s="1"/>
  <c r="R10" i="3"/>
  <c r="Q10" i="3"/>
  <c r="P10" i="3"/>
  <c r="O10" i="3"/>
  <c r="N10" i="3"/>
  <c r="M10" i="3"/>
  <c r="L10" i="3"/>
  <c r="K10" i="3"/>
  <c r="I10" i="3"/>
  <c r="D10" i="3"/>
  <c r="AP9" i="3"/>
  <c r="AO9" i="3"/>
  <c r="R9" i="3"/>
  <c r="Q9" i="3"/>
  <c r="P9" i="3"/>
  <c r="O9" i="3"/>
  <c r="N9" i="3"/>
  <c r="M9" i="3"/>
  <c r="L9" i="3"/>
  <c r="K9" i="3"/>
  <c r="I9" i="3"/>
  <c r="D9" i="3"/>
  <c r="AP8" i="3"/>
  <c r="AO8" i="3"/>
  <c r="R8" i="3"/>
  <c r="Q8" i="3"/>
  <c r="P8" i="3"/>
  <c r="O8" i="3"/>
  <c r="N8" i="3"/>
  <c r="M8" i="3"/>
  <c r="L8" i="3"/>
  <c r="K8" i="3"/>
  <c r="I8" i="3"/>
  <c r="D8" i="3"/>
  <c r="AP7" i="3"/>
  <c r="AO7" i="3"/>
  <c r="R7" i="3"/>
  <c r="Q7" i="3"/>
  <c r="P7" i="3"/>
  <c r="O7" i="3"/>
  <c r="N7" i="3"/>
  <c r="M7" i="3"/>
  <c r="L7" i="3"/>
  <c r="K7" i="3"/>
  <c r="I7" i="3"/>
  <c r="D7" i="3"/>
  <c r="AP6" i="3"/>
  <c r="AO6" i="3"/>
  <c r="R6" i="3"/>
  <c r="Q6" i="3"/>
  <c r="P6" i="3"/>
  <c r="O6" i="3"/>
  <c r="N6" i="3"/>
  <c r="M6" i="3"/>
  <c r="L6" i="3"/>
  <c r="K6" i="3"/>
  <c r="I6" i="3"/>
  <c r="D6" i="3"/>
  <c r="F6" i="3" s="1"/>
  <c r="P9" i="2"/>
  <c r="L9" i="2"/>
  <c r="C9" i="2"/>
  <c r="J9" i="2" s="1"/>
  <c r="B9" i="2"/>
  <c r="P8" i="2"/>
  <c r="L8" i="2"/>
  <c r="C8" i="2"/>
  <c r="J8" i="2" s="1"/>
  <c r="B8" i="2"/>
  <c r="P7" i="2"/>
  <c r="L7" i="2"/>
  <c r="C7" i="2"/>
  <c r="J7" i="2" s="1"/>
  <c r="B7" i="2"/>
  <c r="P6" i="2"/>
  <c r="L6" i="2"/>
  <c r="C6" i="2"/>
  <c r="J6" i="2" s="1"/>
  <c r="B6" i="2"/>
  <c r="P5" i="2"/>
  <c r="C5" i="2"/>
  <c r="B5" i="2"/>
  <c r="D2" i="2"/>
  <c r="V37" i="1"/>
  <c r="U37" i="1"/>
  <c r="V36" i="1"/>
  <c r="U36" i="1"/>
  <c r="V35" i="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V18" i="1"/>
  <c r="U18" i="1"/>
  <c r="V17" i="1"/>
  <c r="U17" i="1"/>
  <c r="V16" i="1"/>
  <c r="U16" i="1"/>
  <c r="V15" i="1"/>
  <c r="U15" i="1"/>
  <c r="V14" i="1"/>
  <c r="U14" i="1"/>
  <c r="AA7" i="3" l="1"/>
  <c r="AA9" i="3"/>
  <c r="AA6" i="3"/>
  <c r="AA8" i="3"/>
  <c r="AA5" i="3"/>
  <c r="J5" i="2"/>
  <c r="AC5" i="3"/>
  <c r="AT45" i="3"/>
  <c r="F55" i="3"/>
  <c r="F56" i="3"/>
  <c r="F67" i="3"/>
  <c r="F59" i="3"/>
  <c r="F60" i="3"/>
  <c r="F31" i="3"/>
  <c r="F38" i="3"/>
  <c r="F65" i="3"/>
  <c r="F14" i="3"/>
  <c r="F23" i="3"/>
  <c r="F27" i="3"/>
  <c r="F33" i="3"/>
  <c r="F41" i="3"/>
  <c r="F43" i="3"/>
  <c r="F45" i="3"/>
  <c r="F47" i="3"/>
  <c r="F49" i="3"/>
  <c r="F51" i="3"/>
  <c r="F52" i="3"/>
  <c r="F53" i="3"/>
  <c r="F64" i="3"/>
  <c r="F13" i="3"/>
  <c r="F18" i="3"/>
  <c r="F19" i="3"/>
  <c r="F20" i="3"/>
  <c r="F22" i="3"/>
  <c r="F39" i="3"/>
  <c r="F9" i="3"/>
  <c r="F15" i="3"/>
  <c r="F24" i="3"/>
  <c r="F30" i="3"/>
  <c r="F34" i="3"/>
  <c r="F37" i="3"/>
  <c r="W17" i="1"/>
  <c r="AR10" i="3"/>
  <c r="I7" i="2"/>
  <c r="AQ8" i="3"/>
  <c r="AS8" i="3" s="1"/>
  <c r="AV42" i="3" s="1"/>
  <c r="AO18" i="3"/>
  <c r="AQ18" i="3" s="1"/>
  <c r="AS18" i="3" s="1"/>
  <c r="F12" i="3"/>
  <c r="F16" i="3"/>
  <c r="BE16" i="3"/>
  <c r="BF16" i="3" s="1"/>
  <c r="G6" i="2" s="1"/>
  <c r="AO19" i="3"/>
  <c r="AQ19" i="3" s="1"/>
  <c r="AS19" i="3" s="1"/>
  <c r="AX39" i="3" s="1"/>
  <c r="AQ7" i="3"/>
  <c r="AR7" i="3" s="1"/>
  <c r="AQ9" i="3"/>
  <c r="AS9" i="3" s="1"/>
  <c r="AW41" i="3" s="1"/>
  <c r="F11" i="3"/>
  <c r="F21" i="3"/>
  <c r="F61" i="3"/>
  <c r="F62" i="3"/>
  <c r="F63" i="3"/>
  <c r="F8" i="3"/>
  <c r="F10" i="3"/>
  <c r="BI16" i="3"/>
  <c r="BJ16" i="3" s="1"/>
  <c r="G8" i="2" s="1"/>
  <c r="F17" i="3"/>
  <c r="AO17" i="3"/>
  <c r="AQ17" i="3" s="1"/>
  <c r="AS17" i="3" s="1"/>
  <c r="BG24" i="3" s="1"/>
  <c r="F35" i="3"/>
  <c r="F36" i="3"/>
  <c r="F7" i="3"/>
  <c r="I9" i="2"/>
  <c r="F44" i="3"/>
  <c r="F46" i="3"/>
  <c r="F57" i="3"/>
  <c r="F58" i="3"/>
  <c r="F26" i="3"/>
  <c r="F28" i="3"/>
  <c r="F29" i="3"/>
  <c r="F32" i="3"/>
  <c r="I8" i="2"/>
  <c r="F50" i="3"/>
  <c r="BD16" i="3"/>
  <c r="G5" i="2" s="1"/>
  <c r="I6" i="2"/>
  <c r="BL16" i="3"/>
  <c r="G9" i="2" s="1"/>
  <c r="AO15" i="3"/>
  <c r="AQ15" i="3" s="1"/>
  <c r="AS15" i="3" s="1"/>
  <c r="I73" i="3"/>
  <c r="BF11" i="3"/>
  <c r="BJ11" i="3"/>
  <c r="AO16" i="3"/>
  <c r="AQ16" i="3" s="1"/>
  <c r="AU45" i="3"/>
  <c r="AV45" i="3"/>
  <c r="AW46" i="3"/>
  <c r="AT46" i="3"/>
  <c r="AW45" i="3"/>
  <c r="AV46" i="3"/>
  <c r="AQ6" i="3"/>
  <c r="BC16" i="3"/>
  <c r="BG16" i="3"/>
  <c r="BH16" i="3" s="1"/>
  <c r="G7" i="2" s="1"/>
  <c r="BK16" i="3"/>
  <c r="BC22" i="3"/>
  <c r="AX45" i="3"/>
  <c r="AX46" i="3"/>
  <c r="AS29" i="3"/>
  <c r="I5" i="2" s="1"/>
  <c r="F42" i="3"/>
  <c r="F66" i="3"/>
  <c r="F40" i="3"/>
  <c r="F48" i="3"/>
  <c r="F54" i="3"/>
  <c r="AC6" i="3" l="1"/>
  <c r="AC7" i="3" s="1"/>
  <c r="AC8" i="3" s="1"/>
  <c r="AD5" i="3"/>
  <c r="C6" i="1"/>
  <c r="Y6" i="3" s="1"/>
  <c r="AS10" i="3"/>
  <c r="BK25" i="3" s="1"/>
  <c r="BL25" i="3" s="1"/>
  <c r="W15" i="1"/>
  <c r="T8" i="2"/>
  <c r="U8" i="2" s="1"/>
  <c r="T6" i="2"/>
  <c r="U6" i="2" s="1"/>
  <c r="AV48" i="3"/>
  <c r="BG25" i="3"/>
  <c r="BH25" i="3" s="1"/>
  <c r="AV44" i="3"/>
  <c r="AV43" i="3"/>
  <c r="AV47" i="3"/>
  <c r="BG28" i="3"/>
  <c r="BH28" i="3" s="1"/>
  <c r="BG21" i="3"/>
  <c r="BH21" i="3" s="1"/>
  <c r="AV41" i="3"/>
  <c r="AV40" i="3"/>
  <c r="AR8" i="3"/>
  <c r="AS24" i="3" s="1"/>
  <c r="H7" i="2" s="1"/>
  <c r="BG23" i="3"/>
  <c r="BH23" i="3" s="1"/>
  <c r="AR18" i="3"/>
  <c r="AR19" i="3"/>
  <c r="AR17" i="3"/>
  <c r="AS7" i="3"/>
  <c r="AU44" i="3" s="1"/>
  <c r="AV39" i="3"/>
  <c r="W14" i="1"/>
  <c r="T5" i="2"/>
  <c r="U5" i="2" s="1"/>
  <c r="BI21" i="3"/>
  <c r="BJ21" i="3" s="1"/>
  <c r="AW44" i="3"/>
  <c r="BI23" i="3"/>
  <c r="BJ23" i="3" s="1"/>
  <c r="AW48" i="3"/>
  <c r="AW40" i="3"/>
  <c r="AW47" i="3"/>
  <c r="BI28" i="3"/>
  <c r="BJ28" i="3" s="1"/>
  <c r="BI25" i="3"/>
  <c r="BJ25" i="3" s="1"/>
  <c r="AR9" i="3"/>
  <c r="AS25" i="3" s="1"/>
  <c r="H8" i="2" s="1"/>
  <c r="AW43" i="3"/>
  <c r="AW42" i="3"/>
  <c r="BG26" i="3"/>
  <c r="BH24" i="3"/>
  <c r="BK27" i="3"/>
  <c r="BL27" i="3" s="1"/>
  <c r="BI22" i="3"/>
  <c r="BJ22" i="3" s="1"/>
  <c r="BC27" i="3"/>
  <c r="BG22" i="3"/>
  <c r="BH22" i="3" s="1"/>
  <c r="BK22" i="3"/>
  <c r="BL22" i="3" s="1"/>
  <c r="BE22" i="3"/>
  <c r="BF22" i="3" s="1"/>
  <c r="BK24" i="3"/>
  <c r="BD22" i="3"/>
  <c r="AR15" i="3"/>
  <c r="AR6" i="3"/>
  <c r="AS6" i="3"/>
  <c r="BI29" i="3"/>
  <c r="BJ29" i="3" s="1"/>
  <c r="BI26" i="3"/>
  <c r="BJ26" i="3" s="1"/>
  <c r="BI24" i="3"/>
  <c r="BJ24" i="3" s="1"/>
  <c r="AW39" i="3"/>
  <c r="I74" i="3"/>
  <c r="T9" i="2"/>
  <c r="U9" i="2" s="1"/>
  <c r="W16" i="1"/>
  <c r="T7" i="2"/>
  <c r="U7" i="2" s="1"/>
  <c r="W18" i="1"/>
  <c r="AS16" i="3"/>
  <c r="AR16" i="3"/>
  <c r="Y34" i="3" l="1"/>
  <c r="AS26" i="3"/>
  <c r="H9" i="2" s="1"/>
  <c r="AX48" i="3"/>
  <c r="AX47" i="3"/>
  <c r="AX42" i="3"/>
  <c r="AX40" i="3"/>
  <c r="AX44" i="3"/>
  <c r="BK28" i="3"/>
  <c r="BL28" i="3" s="1"/>
  <c r="Y8" i="3"/>
  <c r="Y9" i="3"/>
  <c r="Y7" i="3"/>
  <c r="Y5" i="3"/>
  <c r="BK21" i="3"/>
  <c r="BL21" i="3" s="1"/>
  <c r="AX43" i="3"/>
  <c r="AX41" i="3"/>
  <c r="BK23" i="3"/>
  <c r="BL23" i="3" s="1"/>
  <c r="BC35" i="3"/>
  <c r="BC34" i="3"/>
  <c r="E7" i="2" s="1"/>
  <c r="AS23" i="3"/>
  <c r="H6" i="2" s="1"/>
  <c r="AU41" i="3"/>
  <c r="BE21" i="3"/>
  <c r="BF21" i="3" s="1"/>
  <c r="BE25" i="3"/>
  <c r="BF25" i="3" s="1"/>
  <c r="AU43" i="3"/>
  <c r="BE28" i="3"/>
  <c r="BF28" i="3" s="1"/>
  <c r="AU42" i="3"/>
  <c r="BE23" i="3"/>
  <c r="BF23" i="3" s="1"/>
  <c r="AU47" i="3"/>
  <c r="Y33" i="3"/>
  <c r="AU40" i="3"/>
  <c r="AU48" i="3"/>
  <c r="AT47" i="3"/>
  <c r="AT48" i="3"/>
  <c r="AT42" i="3"/>
  <c r="AT41" i="3"/>
  <c r="AT43" i="3"/>
  <c r="BC25" i="3"/>
  <c r="BD25" i="3" s="1"/>
  <c r="AT44" i="3"/>
  <c r="BC23" i="3"/>
  <c r="BD23" i="3" s="1"/>
  <c r="AT40" i="3"/>
  <c r="BC28" i="3"/>
  <c r="BD28" i="3" s="1"/>
  <c r="BC21" i="3"/>
  <c r="AW22" i="3"/>
  <c r="AS22" i="3"/>
  <c r="H5" i="2" s="1"/>
  <c r="AW29" i="3"/>
  <c r="BI27" i="3"/>
  <c r="BJ27" i="3" s="1"/>
  <c r="BE27" i="3"/>
  <c r="BF27" i="3" s="1"/>
  <c r="BG27" i="3"/>
  <c r="BH27" i="3" s="1"/>
  <c r="BD27" i="3"/>
  <c r="I75" i="3"/>
  <c r="AT39" i="3"/>
  <c r="BC24" i="3"/>
  <c r="AX29" i="3"/>
  <c r="AC9" i="3"/>
  <c r="AU39" i="3"/>
  <c r="BE24" i="3"/>
  <c r="BK26" i="3"/>
  <c r="BL24" i="3"/>
  <c r="BG29" i="3"/>
  <c r="BH29" i="3" s="1"/>
  <c r="BH26" i="3"/>
  <c r="AT54" i="3" l="1"/>
  <c r="AT51" i="3"/>
  <c r="AT55" i="3"/>
  <c r="AT53" i="3"/>
  <c r="E8" i="2"/>
  <c r="BD35" i="3"/>
  <c r="AT52" i="3"/>
  <c r="BD21" i="3"/>
  <c r="BD34" i="3"/>
  <c r="Z7" i="3" s="1"/>
  <c r="BK29" i="3"/>
  <c r="BL29" i="3" s="1"/>
  <c r="BL26" i="3"/>
  <c r="BC36" i="3" s="1"/>
  <c r="E9" i="2" s="1"/>
  <c r="BC26" i="3"/>
  <c r="BD24" i="3"/>
  <c r="I76" i="3"/>
  <c r="BE26" i="3"/>
  <c r="BF24" i="3"/>
  <c r="Z8" i="3" l="1"/>
  <c r="BD36" i="3"/>
  <c r="Z9" i="3" s="1"/>
  <c r="BC29" i="3"/>
  <c r="BD29" i="3" s="1"/>
  <c r="BD26" i="3"/>
  <c r="BC32" i="3" s="1"/>
  <c r="BE29" i="3"/>
  <c r="BF29" i="3" s="1"/>
  <c r="BF26" i="3"/>
  <c r="BC33" i="3" s="1"/>
  <c r="AD9" i="3"/>
  <c r="AG5" i="3"/>
  <c r="AH5" i="3" s="1"/>
  <c r="AD8" i="3"/>
  <c r="AD7" i="3"/>
  <c r="AD6" i="3"/>
  <c r="BD32" i="3" l="1"/>
  <c r="E5" i="2"/>
  <c r="AB8" i="3"/>
  <c r="AB7" i="3"/>
  <c r="AB9" i="3"/>
  <c r="AG6" i="3"/>
  <c r="AH6" i="3" s="1"/>
  <c r="AG8" i="3"/>
  <c r="AG9" i="3"/>
  <c r="AH9" i="3" s="1"/>
  <c r="AG7" i="3"/>
  <c r="AH7" i="3" s="1"/>
  <c r="E6" i="2"/>
  <c r="BD33" i="3"/>
  <c r="B18" i="2" l="1"/>
  <c r="D18" i="2" s="1"/>
  <c r="AH8" i="3"/>
  <c r="B17" i="2"/>
  <c r="D17" i="2" s="1"/>
  <c r="B15" i="2"/>
  <c r="D15" i="2" s="1"/>
  <c r="Z6" i="3"/>
  <c r="B14" i="2"/>
  <c r="D14" i="2" s="1"/>
  <c r="Z5" i="3"/>
  <c r="AK7" i="3"/>
  <c r="H16" i="1" s="1"/>
  <c r="B16" i="2"/>
  <c r="D16" i="2" s="1"/>
  <c r="AK9" i="3"/>
  <c r="H18" i="1" s="1"/>
  <c r="AK8" i="3"/>
  <c r="H17" i="1" s="1"/>
  <c r="E16" i="2"/>
  <c r="F16" i="2" s="1"/>
  <c r="D7" i="2"/>
  <c r="K7" i="2" s="1"/>
  <c r="E15" i="2"/>
  <c r="F15" i="2" s="1"/>
  <c r="D6" i="2"/>
  <c r="K6" i="2" s="1"/>
  <c r="E18" i="2"/>
  <c r="F18" i="2" s="1"/>
  <c r="D9" i="2"/>
  <c r="K9" i="2" s="1"/>
  <c r="E17" i="2"/>
  <c r="F17" i="2" s="1"/>
  <c r="D8" i="2"/>
  <c r="K8" i="2" s="1"/>
  <c r="E14" i="2"/>
  <c r="F14" i="2" s="1"/>
  <c r="D5" i="2"/>
  <c r="K5" i="2" s="1"/>
  <c r="AK5" i="3" l="1"/>
  <c r="AL5" i="3" s="1"/>
  <c r="AM5" i="3" s="1"/>
  <c r="AB5" i="3"/>
  <c r="I14" i="1"/>
  <c r="AL7" i="3"/>
  <c r="I16" i="1"/>
  <c r="AL8" i="3"/>
  <c r="I17" i="1"/>
  <c r="AL9" i="3"/>
  <c r="I18" i="1"/>
  <c r="AK6" i="3"/>
  <c r="H15" i="1" s="1"/>
  <c r="M6" i="2"/>
  <c r="N6" i="2" s="1"/>
  <c r="M5" i="2"/>
  <c r="N5" i="2" s="1"/>
  <c r="M8" i="2"/>
  <c r="N8" i="2" s="1"/>
  <c r="M9" i="2"/>
  <c r="N9" i="2" s="1"/>
  <c r="M7" i="2"/>
  <c r="N7" i="2" s="1"/>
  <c r="AB6" i="3"/>
  <c r="H14" i="1" l="1"/>
  <c r="AM8" i="3"/>
  <c r="G17" i="1" s="1"/>
  <c r="AM9" i="3"/>
  <c r="G18" i="1" s="1"/>
  <c r="AM7" i="3"/>
  <c r="G16" i="1" s="1"/>
  <c r="G14" i="1"/>
  <c r="AL6" i="3"/>
  <c r="I15" i="1"/>
  <c r="O9" i="2"/>
  <c r="Q9" i="2" s="1"/>
  <c r="W9" i="2"/>
  <c r="R9" i="2"/>
  <c r="O5" i="2"/>
  <c r="V5" i="2" s="1"/>
  <c r="W5" i="2"/>
  <c r="R5" i="2"/>
  <c r="O8" i="2"/>
  <c r="V8" i="2" s="1"/>
  <c r="W8" i="2"/>
  <c r="R8" i="2"/>
  <c r="O7" i="2"/>
  <c r="Q7" i="2" s="1"/>
  <c r="R7" i="2"/>
  <c r="W7" i="2"/>
  <c r="W6" i="2"/>
  <c r="O6" i="2"/>
  <c r="V6" i="2" s="1"/>
  <c r="R6" i="2"/>
  <c r="AM6" i="3" l="1"/>
  <c r="G15" i="1" s="1"/>
  <c r="V9" i="2"/>
  <c r="Q6" i="2"/>
  <c r="V7" i="2"/>
  <c r="Q8" i="2"/>
  <c r="Q5" i="2"/>
</calcChain>
</file>

<file path=xl/sharedStrings.xml><?xml version="1.0" encoding="utf-8"?>
<sst xmlns="http://schemas.openxmlformats.org/spreadsheetml/2006/main" count="644" uniqueCount="429">
  <si>
    <t>Simulation coût d'usage - Feuille de saisie pour bâtiment neuf</t>
  </si>
  <si>
    <t>Maître d'ouvrage/porteur du projet et adresse de l'opérations</t>
  </si>
  <si>
    <t>Ville la plus proche du projet :</t>
  </si>
  <si>
    <t>Lille</t>
  </si>
  <si>
    <t>Altitude du projet (en mètres) :</t>
  </si>
  <si>
    <t>Production photovoltaïque (autoconso ou vente totale) :</t>
  </si>
  <si>
    <t>Non</t>
  </si>
  <si>
    <t>kWhEP/m²</t>
  </si>
  <si>
    <t>Cases à choix multiples</t>
  </si>
  <si>
    <t>Cases à renseigner</t>
  </si>
  <si>
    <t>Cellules non modifiables / Calcul automatique</t>
  </si>
  <si>
    <r>
      <rPr>
        <b/>
        <sz val="11"/>
        <color rgb="FF000000"/>
        <rFont val="Calibri"/>
        <family val="2"/>
        <charset val="1"/>
      </rPr>
      <t>Prix du m</t>
    </r>
    <r>
      <rPr>
        <b/>
        <vertAlign val="superscript"/>
        <sz val="11"/>
        <color rgb="FF000000"/>
        <rFont val="Calibri"/>
        <family val="2"/>
        <charset val="1"/>
      </rPr>
      <t xml:space="preserve">3 </t>
    </r>
    <r>
      <rPr>
        <b/>
        <sz val="11"/>
        <color rgb="FF000000"/>
        <rFont val="Calibri"/>
        <family val="2"/>
        <charset val="1"/>
      </rPr>
      <t>d'eau charges comprises :</t>
    </r>
  </si>
  <si>
    <t>Surface habitable en m²</t>
  </si>
  <si>
    <t>Système de production du chauffage</t>
  </si>
  <si>
    <t>Système de ventilation</t>
  </si>
  <si>
    <t>Mode de cuisson</t>
  </si>
  <si>
    <t>Nombres de personnes</t>
  </si>
  <si>
    <t>Loyer mensuel</t>
  </si>
  <si>
    <r>
      <rPr>
        <b/>
        <sz val="11"/>
        <color rgb="FF000000"/>
        <rFont val="Calibri"/>
        <family val="2"/>
        <charset val="1"/>
      </rPr>
      <t>Charges (hors énergie et eau)</t>
    </r>
    <r>
      <rPr>
        <b/>
        <sz val="11"/>
        <color rgb="FFFF0000"/>
        <rFont val="Calibri"/>
        <family val="2"/>
        <charset val="1"/>
      </rPr>
      <t xml:space="preserve"> saisie des coûts au m² et/ou à l'année</t>
    </r>
  </si>
  <si>
    <r>
      <rPr>
        <b/>
        <sz val="11"/>
        <color rgb="FF000000"/>
        <rFont val="Calibri"/>
        <family val="2"/>
        <charset val="1"/>
      </rPr>
      <t xml:space="preserve">Ressources </t>
    </r>
    <r>
      <rPr>
        <b/>
        <sz val="11"/>
        <color rgb="FFFF0000"/>
        <rFont val="Calibri"/>
        <family val="2"/>
        <charset val="1"/>
      </rPr>
      <t>si second adultes sans ressource, indiquer "sans ressource" dans ressources 2nd adulte</t>
    </r>
  </si>
  <si>
    <t>Montant Allocations Familiales</t>
  </si>
  <si>
    <t>Montant du chèque énergie</t>
  </si>
  <si>
    <t>Montant mensuel APL</t>
  </si>
  <si>
    <t>Adultes et enfants de 14 ans et +</t>
  </si>
  <si>
    <t>Enfants de moins de 14 ans</t>
  </si>
  <si>
    <r>
      <rPr>
        <b/>
        <sz val="11"/>
        <color rgb="FF000000"/>
        <rFont val="Calibri"/>
        <family val="2"/>
        <charset val="1"/>
      </rPr>
      <t xml:space="preserve">charges locatives (1) </t>
    </r>
    <r>
      <rPr>
        <b/>
        <sz val="11"/>
        <color rgb="FFFF0000"/>
        <rFont val="Calibri"/>
        <family val="2"/>
        <charset val="1"/>
      </rPr>
      <t>en €/m²/an</t>
    </r>
    <r>
      <rPr>
        <b/>
        <sz val="11"/>
        <color rgb="FF000000"/>
        <rFont val="Calibri"/>
        <family val="2"/>
        <charset val="1"/>
      </rPr>
      <t xml:space="preserve"> </t>
    </r>
  </si>
  <si>
    <r>
      <rPr>
        <b/>
        <sz val="11"/>
        <color rgb="FF000000"/>
        <rFont val="Calibri"/>
        <family val="2"/>
        <charset val="1"/>
      </rPr>
      <t>Contrats d'entretien</t>
    </r>
    <r>
      <rPr>
        <b/>
        <sz val="11"/>
        <color rgb="FFFF0000"/>
        <rFont val="Calibri"/>
        <family val="2"/>
        <charset val="1"/>
      </rPr>
      <t xml:space="preserve"> en €/lgt/an</t>
    </r>
  </si>
  <si>
    <r>
      <rPr>
        <b/>
        <sz val="11"/>
        <color rgb="FF000000"/>
        <rFont val="Calibri"/>
        <family val="2"/>
        <charset val="1"/>
      </rPr>
      <t xml:space="preserve">Assurance habitation </t>
    </r>
    <r>
      <rPr>
        <b/>
        <sz val="11"/>
        <color rgb="FFFF0000"/>
        <rFont val="Calibri"/>
        <family val="2"/>
        <charset val="1"/>
      </rPr>
      <t>en €/lgt/an</t>
    </r>
  </si>
  <si>
    <r>
      <rPr>
        <b/>
        <sz val="11"/>
        <color rgb="FF000000"/>
        <rFont val="Calibri"/>
        <family val="2"/>
        <charset val="1"/>
      </rPr>
      <t xml:space="preserve">Taxe habitation </t>
    </r>
    <r>
      <rPr>
        <sz val="8"/>
        <color rgb="FF000000"/>
        <rFont val="Calibri"/>
        <family val="2"/>
        <charset val="1"/>
      </rPr>
      <t>(si non exonéré)</t>
    </r>
    <r>
      <rPr>
        <b/>
        <sz val="8"/>
        <color rgb="FF000000"/>
        <rFont val="Calibri"/>
        <family val="2"/>
        <charset val="1"/>
      </rPr>
      <t xml:space="preserve"> </t>
    </r>
    <r>
      <rPr>
        <b/>
        <sz val="11"/>
        <color rgb="FFFF0000"/>
        <rFont val="Calibri"/>
        <family val="2"/>
        <charset val="1"/>
      </rPr>
      <t>en €/an</t>
    </r>
  </si>
  <si>
    <r>
      <rPr>
        <b/>
        <sz val="11"/>
        <color rgb="FF000000"/>
        <rFont val="Calibri"/>
        <family val="2"/>
        <charset val="1"/>
      </rPr>
      <t xml:space="preserve">Autre(s) : en </t>
    </r>
    <r>
      <rPr>
        <b/>
        <sz val="11"/>
        <color rgb="FFFF0000"/>
        <rFont val="Calibri"/>
        <family val="2"/>
        <charset val="1"/>
      </rPr>
      <t>€/an</t>
    </r>
  </si>
  <si>
    <t>Nature Ressources Principales
1ier adulte</t>
  </si>
  <si>
    <t>Autres ressources
2nd adulte</t>
  </si>
  <si>
    <t>Montant mensuel net</t>
  </si>
  <si>
    <t>Logement 1</t>
  </si>
  <si>
    <t>chaudiere gaz naturel condensation émetteur basse température</t>
  </si>
  <si>
    <t>gaz naturel</t>
  </si>
  <si>
    <t>VMC Double flux basse consommation</t>
  </si>
  <si>
    <t>électricité</t>
  </si>
  <si>
    <t>RSA socle</t>
  </si>
  <si>
    <t>Logement 2</t>
  </si>
  <si>
    <t>chaudiere bois buche</t>
  </si>
  <si>
    <t>fioul</t>
  </si>
  <si>
    <t>VMC Simple flux hygroréglable type B basse consommation</t>
  </si>
  <si>
    <t>Logement 3</t>
  </si>
  <si>
    <t>Logement 4</t>
  </si>
  <si>
    <t>Logement 5</t>
  </si>
  <si>
    <t>Logement 6</t>
  </si>
  <si>
    <t>Logement 7</t>
  </si>
  <si>
    <t>Logement 8</t>
  </si>
  <si>
    <t>Logement 9</t>
  </si>
  <si>
    <t>Logement 10</t>
  </si>
  <si>
    <t>Logement 11</t>
  </si>
  <si>
    <t>Logement 12</t>
  </si>
  <si>
    <t>Logement 13</t>
  </si>
  <si>
    <t>Logement 14</t>
  </si>
  <si>
    <t>Logement 15</t>
  </si>
  <si>
    <t>Logement 16</t>
  </si>
  <si>
    <t>Logement 17</t>
  </si>
  <si>
    <t>Logement 18</t>
  </si>
  <si>
    <t>Logement 19</t>
  </si>
  <si>
    <t>Logement 20</t>
  </si>
  <si>
    <t>Logement 21</t>
  </si>
  <si>
    <t>Logement 22</t>
  </si>
  <si>
    <t>Logement 23</t>
  </si>
  <si>
    <t>Logement 24</t>
  </si>
  <si>
    <t>(1) Nettoyage et électricité parties communes, Taxe d'Enlèvement des Ordures Ménagères, etc.</t>
  </si>
  <si>
    <r>
      <rPr>
        <b/>
        <sz val="11"/>
        <color rgb="FF000000"/>
        <rFont val="Calibri"/>
        <family val="2"/>
        <charset val="1"/>
      </rPr>
      <t xml:space="preserve">Lecture des ressources :
</t>
    </r>
    <r>
      <rPr>
        <u/>
        <sz val="11"/>
        <color rgb="FF000000"/>
        <rFont val="Calibri"/>
        <family val="2"/>
        <charset val="1"/>
      </rPr>
      <t>RSA Socle / Parent isolé :</t>
    </r>
    <r>
      <rPr>
        <sz val="11"/>
        <color rgb="FF000000"/>
        <rFont val="Calibri"/>
        <family val="2"/>
        <charset val="1"/>
      </rPr>
      <t xml:space="preserve"> le calcul se fait sans les allocations logement
</t>
    </r>
    <r>
      <rPr>
        <u/>
        <sz val="11"/>
        <color rgb="FF000000"/>
        <rFont val="Calibri"/>
        <family val="2"/>
        <charset val="1"/>
      </rPr>
      <t>Salaire :</t>
    </r>
    <r>
      <rPr>
        <sz val="11"/>
        <color rgb="FF000000"/>
        <rFont val="Calibri"/>
        <family val="2"/>
        <charset val="1"/>
      </rPr>
      <t xml:space="preserve"> ce sont des montants pris par défaut, ils peuvent être utilisés pour une pension de retraite ou d'invalidité
</t>
    </r>
    <r>
      <rPr>
        <u/>
        <sz val="11"/>
        <color rgb="FF000000"/>
        <rFont val="Calibri"/>
        <family val="2"/>
        <charset val="1"/>
      </rPr>
      <t>Aucune ressource :</t>
    </r>
    <r>
      <rPr>
        <sz val="11"/>
        <color rgb="FF000000"/>
        <rFont val="Calibri"/>
        <family val="2"/>
        <charset val="1"/>
      </rPr>
      <t xml:space="preserve"> Si un des membres du couple n'a pas de ressource, il faut l'indiquer pour la bonne réalisation des calculs</t>
    </r>
  </si>
  <si>
    <t>Evaluation du coût d'usage après travaux – bâtiment neuf</t>
  </si>
  <si>
    <t>Maître d'ouvrage/
Adresse de l'opération</t>
  </si>
  <si>
    <t>Identification du logement</t>
  </si>
  <si>
    <t>Situation du logement</t>
  </si>
  <si>
    <t>Surface</t>
  </si>
  <si>
    <t>Coûts par poste de dépense</t>
  </si>
  <si>
    <t>Coûts globaux</t>
  </si>
  <si>
    <t>Rôle de l'APL</t>
  </si>
  <si>
    <r>
      <rPr>
        <b/>
        <sz val="14"/>
        <rFont val="Calibri"/>
        <family val="2"/>
        <charset val="1"/>
      </rPr>
      <t>Reste pour vivre du ménage et par UC</t>
    </r>
    <r>
      <rPr>
        <b/>
        <sz val="10"/>
        <rFont val="Calibri"/>
        <family val="2"/>
        <charset val="1"/>
      </rPr>
      <t>(2)</t>
    </r>
  </si>
  <si>
    <t>(1) Chèque Energie</t>
  </si>
  <si>
    <t>Coût mensuel estimatif moyen Chauffage</t>
  </si>
  <si>
    <t>Coût mensuel estimatif moyen ECS</t>
  </si>
  <si>
    <t>Coût mensuel estimatif moyen eau froide</t>
  </si>
  <si>
    <t>Coût mensuel estimatif moyen électricité spécifique</t>
  </si>
  <si>
    <t>Coût Total mensuel énergies et eau</t>
  </si>
  <si>
    <t xml:space="preserve">Coût Total mensuel charges hors fluides (énergie et eau) </t>
  </si>
  <si>
    <t>Coût Total mensuel avec loyer et charges</t>
  </si>
  <si>
    <t>Coût résiduel
(Coût total-APL)</t>
  </si>
  <si>
    <t>Reste pour vivre mensuel</t>
  </si>
  <si>
    <t xml:space="preserve">UC(2)
</t>
  </si>
  <si>
    <t xml:space="preserve">Reste pour vivre   par jour &amp; par UC </t>
  </si>
  <si>
    <t xml:space="preserve">Taux de dépense contrainte logement </t>
  </si>
  <si>
    <t>Montant annuel</t>
  </si>
  <si>
    <t>Montant si mensualisé</t>
  </si>
  <si>
    <t>Reste pour vivrre  mensuel
en tenant compte du Chèque énergie (1)</t>
  </si>
  <si>
    <t>Taux de dépense contrainte logement  
si Chèque Energie mensualisé (1)</t>
  </si>
  <si>
    <t>Pour info : consommation d'énergie</t>
  </si>
  <si>
    <t>Cout de l'abonnement
d'électricité et de gaz</t>
  </si>
  <si>
    <t>nombre kWh* consommés tous postes confondus</t>
  </si>
  <si>
    <t>ratio au m²</t>
  </si>
  <si>
    <t>nombre kWh* consommés chauffage</t>
  </si>
  <si>
    <t>L'abonnement gaz est compris soit dans le chauffage, soit dans l'ECS, soit dans la cuisson</t>
  </si>
  <si>
    <t>L'abonnement d'électricité est compris dans le coût de l'éléctricité spécifique</t>
  </si>
  <si>
    <t>* kWh en énergie finale</t>
  </si>
  <si>
    <t>Consommation totale possible en kWhEP</t>
  </si>
  <si>
    <t>Consommation ECS
kWhEP</t>
  </si>
  <si>
    <t>Conso ventilation
kWhEP</t>
  </si>
  <si>
    <t>Conso restante pour chauffage
kWhEP</t>
  </si>
  <si>
    <t>a</t>
  </si>
  <si>
    <t>Gain sur chauffage si VMC 2F</t>
  </si>
  <si>
    <t>Conso de chauffage estimée en kWh avec SF</t>
  </si>
  <si>
    <t>Conso de chauffage estimée en kWhEP</t>
  </si>
  <si>
    <t>ville</t>
  </si>
  <si>
    <t>dept</t>
  </si>
  <si>
    <t>Zone clim</t>
  </si>
  <si>
    <t>b</t>
  </si>
  <si>
    <t>Cep</t>
  </si>
  <si>
    <t>SF : 160kWh pour 100m² / mini 80kWh</t>
  </si>
  <si>
    <t>logement1</t>
  </si>
  <si>
    <t>logement2</t>
  </si>
  <si>
    <t>logement3</t>
  </si>
  <si>
    <t>logement4</t>
  </si>
  <si>
    <t>logement5</t>
  </si>
  <si>
    <t>Typologie des logements</t>
  </si>
  <si>
    <t>Consommation ECS</t>
  </si>
  <si>
    <t>logt3</t>
  </si>
  <si>
    <t>logt4</t>
  </si>
  <si>
    <t>logt5</t>
  </si>
  <si>
    <t>tarif éléc</t>
  </si>
  <si>
    <t>SF hygroB</t>
  </si>
  <si>
    <t>double flux</t>
  </si>
  <si>
    <t>hygroB</t>
  </si>
  <si>
    <t>Studio</t>
  </si>
  <si>
    <t>Logt 1</t>
  </si>
  <si>
    <t>chauf</t>
  </si>
  <si>
    <t>ECS</t>
  </si>
  <si>
    <t>puissance retenue</t>
  </si>
  <si>
    <t>abonnement annuel en € TTc/an</t>
  </si>
  <si>
    <t>prix du kWh en  € TTc/kWh</t>
  </si>
  <si>
    <t>Abbeville</t>
  </si>
  <si>
    <t>H1a</t>
  </si>
  <si>
    <t>T1</t>
  </si>
  <si>
    <t>Logt 2</t>
  </si>
  <si>
    <t>logt 1</t>
  </si>
  <si>
    <t>Agen</t>
  </si>
  <si>
    <t>H2c</t>
  </si>
  <si>
    <t>T2</t>
  </si>
  <si>
    <t>Logt 3</t>
  </si>
  <si>
    <t>logt 2</t>
  </si>
  <si>
    <t>Alençon</t>
  </si>
  <si>
    <t>T3</t>
  </si>
  <si>
    <t>Logt 4</t>
  </si>
  <si>
    <t>logt 3</t>
  </si>
  <si>
    <t>logt 4</t>
  </si>
  <si>
    <t>logt 5</t>
  </si>
  <si>
    <t>Ambérieu</t>
  </si>
  <si>
    <t>H1c</t>
  </si>
  <si>
    <t>T4</t>
  </si>
  <si>
    <t>Logt 5</t>
  </si>
  <si>
    <r>
      <rPr>
        <sz val="10"/>
        <rFont val="Arial"/>
        <family val="2"/>
        <charset val="1"/>
      </rPr>
      <t>consommation d'eau en m</t>
    </r>
    <r>
      <rPr>
        <b/>
        <vertAlign val="superscript"/>
        <sz val="10"/>
        <rFont val="Arial"/>
        <family val="2"/>
        <charset val="1"/>
      </rPr>
      <t>3</t>
    </r>
  </si>
  <si>
    <t>Angers</t>
  </si>
  <si>
    <t>H2b</t>
  </si>
  <si>
    <t>catégorie de consommation</t>
  </si>
  <si>
    <t>base en m3/an.pers</t>
  </si>
  <si>
    <r>
      <rPr>
        <sz val="10"/>
        <rFont val="Arial"/>
        <family val="2"/>
        <charset val="1"/>
      </rPr>
      <t>estimation en m</t>
    </r>
    <r>
      <rPr>
        <vertAlign val="superscript"/>
        <sz val="10"/>
        <rFont val="Arial"/>
        <family val="2"/>
        <charset val="1"/>
      </rPr>
      <t>3</t>
    </r>
  </si>
  <si>
    <t>coût estimé</t>
  </si>
  <si>
    <t>Auxerre</t>
  </si>
  <si>
    <t>Production PV :</t>
  </si>
  <si>
    <t>robinets hors douche et baignoire)</t>
  </si>
  <si>
    <t>Beauvais</t>
  </si>
  <si>
    <t>Oui</t>
  </si>
  <si>
    <t>chasse d'eau</t>
  </si>
  <si>
    <t>Besançon</t>
  </si>
  <si>
    <t>tarif gaz</t>
  </si>
  <si>
    <t>lave linge</t>
  </si>
  <si>
    <t>Biarritz</t>
  </si>
  <si>
    <t>Type retenu</t>
  </si>
  <si>
    <t>prix du kWh en c € TTc/kWh</t>
  </si>
  <si>
    <t>vaisselle</t>
  </si>
  <si>
    <t>Bordeaux</t>
  </si>
  <si>
    <t>douche</t>
  </si>
  <si>
    <t>Bourges</t>
  </si>
  <si>
    <t>TOTAL</t>
  </si>
  <si>
    <t>Brest</t>
  </si>
  <si>
    <t>H2a</t>
  </si>
  <si>
    <t>Caen</t>
  </si>
  <si>
    <t xml:space="preserve">Chartres </t>
  </si>
  <si>
    <t>Châteauroux</t>
  </si>
  <si>
    <t>prix du kWh</t>
  </si>
  <si>
    <t>prix ecs en €</t>
  </si>
  <si>
    <t>rendement système</t>
  </si>
  <si>
    <t>énergie</t>
  </si>
  <si>
    <t>Clermont ferrand</t>
  </si>
  <si>
    <t>en €</t>
  </si>
  <si>
    <t>type de production ecs</t>
  </si>
  <si>
    <t>ballon thermodynamique</t>
  </si>
  <si>
    <t>élec</t>
  </si>
  <si>
    <t>Cognac</t>
  </si>
  <si>
    <t>CESI + bois</t>
  </si>
  <si>
    <t>soleil</t>
  </si>
  <si>
    <t>Dax</t>
  </si>
  <si>
    <t>intérieur</t>
  </si>
  <si>
    <t>CESI + elec</t>
  </si>
  <si>
    <t>Dijon</t>
  </si>
  <si>
    <t>extérieur</t>
  </si>
  <si>
    <t>Embrun</t>
  </si>
  <si>
    <t>CESI + gaz</t>
  </si>
  <si>
    <t>Gourdon</t>
  </si>
  <si>
    <r>
      <rPr>
        <sz val="10"/>
        <rFont val="Arial"/>
        <family val="2"/>
        <charset val="1"/>
      </rPr>
      <t xml:space="preserve">rénovation RT existante (avant 2018) : 
isolation toiture : </t>
    </r>
    <r>
      <rPr>
        <sz val="10"/>
        <rFont val="Calibri"/>
        <family val="2"/>
        <charset val="1"/>
      </rPr>
      <t>≈15</t>
    </r>
    <r>
      <rPr>
        <sz val="10"/>
        <rFont val="Arial"/>
        <family val="2"/>
        <charset val="1"/>
      </rPr>
      <t xml:space="preserve"> cm ( R&gt;4)
menuiseries double vitrages (U</t>
    </r>
    <r>
      <rPr>
        <vertAlign val="subscript"/>
        <sz val="10"/>
        <rFont val="Arial"/>
        <family val="2"/>
        <charset val="1"/>
      </rPr>
      <t>w</t>
    </r>
    <r>
      <rPr>
        <sz val="10"/>
        <rFont val="Arial"/>
        <family val="2"/>
        <charset val="1"/>
      </rPr>
      <t>&lt; 2,3)
isolant des murs : ≈9 cm ( R&gt;2 ,3)</t>
    </r>
  </si>
  <si>
    <t>cumulus élec neuf</t>
  </si>
  <si>
    <t>Grenoble</t>
  </si>
  <si>
    <t>rénovation performante : 
isolation toiture : ≈30 cm ( R&gt;7)
menuiseries double vitrages argon + traitement (Uw&lt; 1,3)
isolant des murs : ≈14 cm ( R&gt;3,7 )</t>
  </si>
  <si>
    <t>La Rochelle</t>
  </si>
  <si>
    <t>cuisson 350 kWh +80 kwh.pers_sup                                           kWh</t>
  </si>
  <si>
    <t>gaz</t>
  </si>
  <si>
    <t>Langres</t>
  </si>
  <si>
    <t>H1b</t>
  </si>
  <si>
    <t>individuel</t>
  </si>
  <si>
    <t>solaire collectif + bois</t>
  </si>
  <si>
    <t>Le Mans</t>
  </si>
  <si>
    <t>collectif</t>
  </si>
  <si>
    <t>solaire collectif + elec</t>
  </si>
  <si>
    <t>non changées</t>
  </si>
  <si>
    <t>Limoges</t>
  </si>
  <si>
    <t>indépendante</t>
  </si>
  <si>
    <t>partiellement</t>
  </si>
  <si>
    <t>solaire collectif + gaz</t>
  </si>
  <si>
    <t>Lorient</t>
  </si>
  <si>
    <t>1 coté</t>
  </si>
  <si>
    <t>en intégralité</t>
  </si>
  <si>
    <t>nombre kWh ECS</t>
  </si>
  <si>
    <t>Luxeuil</t>
  </si>
  <si>
    <t>2 cotés</t>
  </si>
  <si>
    <t>ECS retenu en €</t>
  </si>
  <si>
    <t>ECS retenu en kWh</t>
  </si>
  <si>
    <t>Lyon</t>
  </si>
  <si>
    <t>Mâcon</t>
  </si>
  <si>
    <t>generateur</t>
  </si>
  <si>
    <t>rendement tout compris</t>
  </si>
  <si>
    <t>Marseille</t>
  </si>
  <si>
    <t>H3</t>
  </si>
  <si>
    <t xml:space="preserve">bois </t>
  </si>
  <si>
    <t>Metz</t>
  </si>
  <si>
    <t>chaudiere bois granulés</t>
  </si>
  <si>
    <t>Millau</t>
  </si>
  <si>
    <t>Mont de Marsan</t>
  </si>
  <si>
    <t>gaz de ville</t>
  </si>
  <si>
    <t>Montélimar</t>
  </si>
  <si>
    <t>H2d</t>
  </si>
  <si>
    <t>gaz bouteille</t>
  </si>
  <si>
    <t>chauffage bois + éléctricité (80-20)</t>
  </si>
  <si>
    <t>Montpellier</t>
  </si>
  <si>
    <t>pac air-air</t>
  </si>
  <si>
    <t>Mulhouse</t>
  </si>
  <si>
    <t>pac air-eau plancher chauffant</t>
  </si>
  <si>
    <t>Nancy</t>
  </si>
  <si>
    <t>pac air-eau radiateur basse température</t>
  </si>
  <si>
    <t>Nantes</t>
  </si>
  <si>
    <t>plancher chauffant électrique</t>
  </si>
  <si>
    <t>Nevers</t>
  </si>
  <si>
    <t>poêle à bois buche</t>
  </si>
  <si>
    <t>Nice</t>
  </si>
  <si>
    <t>poêle à bois granulés</t>
  </si>
  <si>
    <t>Nimes</t>
  </si>
  <si>
    <t>radiateur électrique à accumulation</t>
  </si>
  <si>
    <t>Orange</t>
  </si>
  <si>
    <t>radiateur électrique rayonnant</t>
  </si>
  <si>
    <t>Orléans</t>
  </si>
  <si>
    <t>Paris</t>
  </si>
  <si>
    <t>Pau</t>
  </si>
  <si>
    <t>Perpignan</t>
  </si>
  <si>
    <t>Poitiers</t>
  </si>
  <si>
    <t>Reims</t>
  </si>
  <si>
    <t>Rennes</t>
  </si>
  <si>
    <t>Rouen</t>
  </si>
  <si>
    <t>Saint Girons</t>
  </si>
  <si>
    <t>Saint-Dizier</t>
  </si>
  <si>
    <t>Saint-Etienne</t>
  </si>
  <si>
    <t>Saint-Quentin</t>
  </si>
  <si>
    <t>Strasbourg</t>
  </si>
  <si>
    <t>Tarbes</t>
  </si>
  <si>
    <t>Toulon</t>
  </si>
  <si>
    <t>Toulouse</t>
  </si>
  <si>
    <t>Tours</t>
  </si>
  <si>
    <t>Trappes</t>
  </si>
  <si>
    <t>calcul gain 2F Y = AX + B</t>
  </si>
  <si>
    <t>surface lg1</t>
  </si>
  <si>
    <t>surface lg2</t>
  </si>
  <si>
    <t>surface lg3</t>
  </si>
  <si>
    <t>surface lg4</t>
  </si>
  <si>
    <t>surface lg5</t>
  </si>
  <si>
    <t>A</t>
  </si>
  <si>
    <t>B</t>
  </si>
  <si>
    <t>gain par rapport à une SF</t>
  </si>
  <si>
    <t>rendement chauffage</t>
  </si>
  <si>
    <t>bois buche</t>
  </si>
  <si>
    <t>bois granulés</t>
  </si>
  <si>
    <t>Si minima sociaux (RSA, AAH) : montant max en fonction de la situation familiale</t>
  </si>
  <si>
    <t>Sinon, estimation d'un RFR en fonction des profils de revenus :</t>
  </si>
  <si>
    <t>https://www.energie-info.fr/fiche_pratique/le-cheque-energie/</t>
  </si>
  <si>
    <t>Nbre d'UC</t>
  </si>
  <si>
    <t>1 UC</t>
  </si>
  <si>
    <t>1 &lt; UC &lt; 2</t>
  </si>
  <si>
    <t>2 UC ou +</t>
  </si>
  <si>
    <t>Nb d'UC : 1 pour la 1ière personne, 0,5 pour la seconde, 0,3 pour les suivantes</t>
  </si>
  <si>
    <t>Ressources</t>
  </si>
  <si>
    <t>MAJ 29/01/2020</t>
  </si>
  <si>
    <t>https://www.aide-sociale.fr/rsa-socle-dossier-calcul/</t>
  </si>
  <si>
    <t>1ier revenu</t>
  </si>
  <si>
    <t>2nd revenu</t>
  </si>
  <si>
    <t>Enfant</t>
  </si>
  <si>
    <t>&gt;3</t>
  </si>
  <si>
    <t>Aucune ressource</t>
  </si>
  <si>
    <t>Seul sans AL</t>
  </si>
  <si>
    <t>Couple sans AL</t>
  </si>
  <si>
    <t>RSA parent isolé</t>
  </si>
  <si>
    <t>formules pour info</t>
  </si>
  <si>
    <t>Allocation Adulte Handicapé</t>
  </si>
  <si>
    <t>ASPA</t>
  </si>
  <si>
    <t>&gt;2</t>
  </si>
  <si>
    <t>SMIC net 35h 
1 227€/mois</t>
  </si>
  <si>
    <t>Seul + enf</t>
  </si>
  <si>
    <t>Salaire 
300 €/mois</t>
  </si>
  <si>
    <t>Salaire 
650 €/mois</t>
  </si>
  <si>
    <t>Allocations familiales</t>
  </si>
  <si>
    <t>*tant que les enfants ont moins de 20 ans</t>
  </si>
  <si>
    <t>Salaire 
900 €/mois</t>
  </si>
  <si>
    <t>&gt;4</t>
  </si>
  <si>
    <t>https://www.service-public.fr/particuliers/vosdroits/F13213</t>
  </si>
  <si>
    <t>AF</t>
  </si>
  <si>
    <t>Majoration si + 14ans</t>
  </si>
  <si>
    <t>Seul</t>
  </si>
  <si>
    <t>https://www.service-public.fr/particuliers/vosdroits/F16871</t>
  </si>
  <si>
    <t>Couple</t>
  </si>
  <si>
    <t>AAH</t>
  </si>
  <si>
    <t>https://www.service-public.fr/particuliers/vosdroits/F12242</t>
  </si>
  <si>
    <t>https://www.fournisseurs-electricite.com/edf/tarifs/bleu-reglemente</t>
  </si>
  <si>
    <t>option base TTC</t>
  </si>
  <si>
    <t>puissance souscrite</t>
  </si>
  <si>
    <t>prix du kWh en € TTc/kWh</t>
  </si>
  <si>
    <t>https://www.fournisseurs-electricite.com/engie/tarifs/tarif-reglemente-gaz</t>
  </si>
  <si>
    <t>type</t>
  </si>
  <si>
    <t>base</t>
  </si>
  <si>
    <t>B0</t>
  </si>
  <si>
    <t>B1</t>
  </si>
  <si>
    <t>https://www.ajena.org/ressources/argus-energie.htm</t>
  </si>
  <si>
    <t>type d'énergie</t>
  </si>
  <si>
    <t>prix du kWh en €</t>
  </si>
  <si>
    <t>gaz bouteille 13 kg</t>
  </si>
  <si>
    <t>Protéger la feuille :</t>
  </si>
  <si>
    <t>Accueil / Format / Protéger la feuille</t>
  </si>
  <si>
    <t>Supprimer les #N/A :</t>
  </si>
  <si>
    <t>https://apprendreexcel.com/excel-message-erreur-na/</t>
  </si>
  <si>
    <t>Supprimer les #VALEUR ou #DIV0 :</t>
  </si>
  <si>
    <t>https://www.commentcamarche.net/forum/affich-2886210-excel-ne-pas-afficher-valeur</t>
  </si>
  <si>
    <t>SI(ESTERREUR(XX);0;XX)</t>
  </si>
  <si>
    <t>T° base hiver</t>
  </si>
  <si>
    <t>Conso de chauffage estimée en kWh</t>
  </si>
  <si>
    <t>Type d'isolation :</t>
  </si>
  <si>
    <t xml:space="preserve">G = </t>
  </si>
  <si>
    <t>G =</t>
  </si>
  <si>
    <t>Ecart avec la consommation théorique maximale</t>
  </si>
  <si>
    <t>chauffage retenu en €</t>
  </si>
  <si>
    <t>Les solutions proposées paraissent-elles adaptées à une construction BBC ?</t>
  </si>
  <si>
    <t>Informations par logement</t>
  </si>
  <si>
    <t>Hypothèses prises :</t>
  </si>
  <si>
    <t>kWh pour la première personne (en brut, avant rendement)</t>
  </si>
  <si>
    <t>kWh pour les personnes suivantes</t>
  </si>
  <si>
    <t>1,16*L*(55-15)/rend</t>
  </si>
  <si>
    <t>Conso ECS/chauff/aux en kWhEP/m²</t>
  </si>
  <si>
    <t>Prise en compte du risque de surchauffe estivale ?</t>
  </si>
  <si>
    <t>Très performante (toit : R = 10 / murs : R = 5,5 / sol : R = 5 / étanchéité à l'air &lt; 1 vol/h -&gt; N50)</t>
  </si>
  <si>
    <t>conso éléc spé 2: 18kwh/m².an+4,5kwh/m².an.pers_sup      en kWh</t>
  </si>
  <si>
    <t>Mise en place d'occultants</t>
  </si>
  <si>
    <t xml:space="preserve">Utilisation d'isolants biosourcés (permettant un déphasage) </t>
  </si>
  <si>
    <t>Autre :</t>
  </si>
  <si>
    <t>Intégration d'une pièce humide dans la partie haute du logement</t>
  </si>
  <si>
    <t>Coût mensuel estimatif du rafraichissement (lissé sur l'année)</t>
  </si>
  <si>
    <t>Peu performante (toit : R = 7 / murs : R = 3,7 / sol : R = 3 / étanchéité à l'air = 3 vol/h -&gt; N50)</t>
  </si>
  <si>
    <t>Etiquette énergie prévisionnelle</t>
  </si>
  <si>
    <t>Coût mensuel estimatif moyen cuisson (électrique)</t>
  </si>
  <si>
    <t>Sur-isolation du ballon prévue</t>
  </si>
  <si>
    <t>Pas de sur-isolation</t>
  </si>
  <si>
    <t>Type de production d'Eau Chaude Sanitaire (ECS)</t>
  </si>
  <si>
    <t>Sur iso ou pas du ballon ECS (CET ou cumulus)</t>
  </si>
  <si>
    <t>h de clim</t>
  </si>
  <si>
    <t>Conso de clim estimée en kWh</t>
  </si>
  <si>
    <t>Conso de clim estimée en kWhEP</t>
  </si>
  <si>
    <t>Conso ECS/chauff/clim/aux estimée en kWhEP</t>
  </si>
  <si>
    <t>DF : 160+124 kWh pour 100m² / mini 140 kWh</t>
  </si>
  <si>
    <t>Cep Consommation maximale (chauffage / ECS / auxiliaires / climatisation)* :</t>
  </si>
  <si>
    <t>Coût mensuel estimatif moyen éclairage (LED)</t>
  </si>
  <si>
    <t>Hypothèse éclairage : LED -&gt; 3kWhEF/m²</t>
  </si>
  <si>
    <t>Facteur de conversion de l'électricité :</t>
  </si>
  <si>
    <t>Attention, facteur indiqué sur page Saisie Bât neuf</t>
  </si>
  <si>
    <t>Etiquettes énergie :</t>
  </si>
  <si>
    <t>C</t>
  </si>
  <si>
    <t>D</t>
  </si>
  <si>
    <t>F</t>
  </si>
  <si>
    <t>G</t>
  </si>
  <si>
    <t>E</t>
  </si>
  <si>
    <t>Petit guide d'utilisation de l'outil</t>
  </si>
  <si>
    <t>Utilisation de la feuille de saisie maison (logement unique ou divisée) :</t>
  </si>
  <si>
    <t>Un principe de base de la feuille est que toutes les cellules oranges sont à renseigner directement, les cellules bleues à renseigner parmi une liste déroulante et les cellules saumons sont bloquées. Pour les listes déroulantes, quand vous sélectionnez la cellule, une flèche apparait à droite de celle-ci. Cliquez ensuite sur la flèche et la liste apparaitra. Cliquez ainsi sur la proposition de votre choix.</t>
  </si>
  <si>
    <t>Si votre rénovation est plus ambitieuse que celles proposées, choisissez quand même la rénovation performante.</t>
  </si>
  <si>
    <t xml:space="preserve">Pour imprimer la feuille résultat, cliquer sur l'onglet fichier (en haut à gauche de la page), puis imprimer.
L'impression est configurée en format A4 mode paysage. </t>
  </si>
  <si>
    <t>Partie Ressources / Allocations Familiales / Chèque Energie pour les onglets Saisie maison &amp; Saisie immeuble :</t>
  </si>
  <si>
    <r>
      <rPr>
        <b/>
        <u/>
        <sz val="12"/>
        <color rgb="FF000000"/>
        <rFont val="Calibri"/>
        <family val="2"/>
        <charset val="1"/>
      </rPr>
      <t xml:space="preserve">Ressources :
</t>
    </r>
    <r>
      <rPr>
        <sz val="11"/>
        <color rgb="FF000000"/>
        <rFont val="Calibri"/>
        <family val="2"/>
        <charset val="1"/>
      </rPr>
      <t>Des ressources type sont indiquées : RSA Socle / RSA Parent isolé / Allocation Adulte Handicapé / ASPA / SMIC net 35h (1 227 €) / Salaire 300 € / Salaire 600 € / Salaire 900 €.
Les montants du RSA (socle ou parent isolé) est indiqué sans l'allocation logement.
Si le ménage est composé de 2 adultes mais qu'un seul a des revenus, il faut impérativement indiquer "Sans ressources" pour le 2nd adulte, cela permet de le compter comme un adulte et pas comme un enfant de + de 14ans.
Les salaires indiqués (SMIC/300€/600€/900€) peuvent être utilisé pour indiquer une pension de retraite ou d'invalidité.</t>
    </r>
  </si>
  <si>
    <r>
      <rPr>
        <b/>
        <u/>
        <sz val="12"/>
        <color rgb="FF000000"/>
        <rFont val="Calibri"/>
        <family val="2"/>
        <charset val="1"/>
      </rPr>
      <t xml:space="preserve">Allocations familiales :
</t>
    </r>
    <r>
      <rPr>
        <sz val="11"/>
        <color rgb="FF000000"/>
        <rFont val="Calibri"/>
        <family val="2"/>
        <charset val="1"/>
      </rPr>
      <t>Le montant des allocations familiales sont ceux pour les ménages aux plus faibles ressources.
Le calcul tient compte du nombre d'adultes et d'enfants renseignés.</t>
    </r>
  </si>
  <si>
    <r>
      <rPr>
        <b/>
        <u/>
        <sz val="12"/>
        <color rgb="FF000000"/>
        <rFont val="Calibri"/>
        <family val="2"/>
        <charset val="1"/>
      </rPr>
      <t xml:space="preserve">Chèque Energie :
</t>
    </r>
    <r>
      <rPr>
        <sz val="11"/>
        <color rgb="FF000000"/>
        <rFont val="Calibri"/>
        <family val="2"/>
        <charset val="1"/>
      </rPr>
      <t xml:space="preserve">Le chèque énergie a remplacé les tarifs sociaux de l'électricité et du gaz (TPN/TSS). Il est attribué sur la base d’un critère fiscal unique, en tenant compte du revenu fiscal de référence du ménage. Il permet aux ménages bénéficiaires de régler des factures d’énergie (électricité, gaz, fioul, bois…) ou de financer une partie des travaux d’économies d’énergie qu’ils engagent dans leur logement.
Le chèque énergie permet de faire bénéficier de protections supplémentaires auprès du fournisseur d'électricité ou de gaz naturel, si une attestation est bien renvoyée :
- Lors d'un déménagement : exonération des frais de mise en service du contrat.
- En cas d'incident de paiement :
    ° maintien de la puissance électrique pendant la période de trève hivernale (du 1er novembre au 31 mars)
    ° réduction des frais liés à une intervention en cas d'impayés (réduction de puissance ou suspension d'alimentation)
    ° exonération, le cas échéant, des frais liés à un rejet de paiement.
Dans les onglets Résultats, il est indiqué de manière séparée du reste puisque le versement de ce chèque ne se fait qu'en une seule fois, il est donc difficile de l'indiquer comme ressource mensuelle.
</t>
    </r>
  </si>
  <si>
    <t>Valeurs de Ressources / Allocations Familiales / Chèque Energie utilisées</t>
  </si>
  <si>
    <t>Seul + enf av AL</t>
  </si>
  <si>
    <t>Allocations familiales (tant que les enfants ont moins de 20 ans)</t>
  </si>
  <si>
    <t>Seul avec AL</t>
  </si>
  <si>
    <t>Couple avec AL</t>
  </si>
  <si>
    <t>Chèque Energie</t>
  </si>
  <si>
    <t>Nbre d'UC : 1 pour la 1ière personne, 0,5 pour la seconde, 0,3 pour les suivantes</t>
  </si>
  <si>
    <t>En bas de la feuille excel se trouvent 2 onglets, l'un pour la saisie et l'autre pour les résultats.</t>
  </si>
  <si>
    <t xml:space="preserve">En premier lieu, veuillez indiquer vos coordonnées et références de l'opération. Choisissez ensuite la ville la plus proche de votre projet. Les 62 villes proposées sont classées par ordre alphabétique. Il vous est ensuite demandé de remplir le type de logement, à savoir si le batiment n'est occupé que par une seule famille dans ce cas, choisissez individuel, sinon collectif. </t>
  </si>
  <si>
    <t>Séléctionnez ensuite le type de construction.
ci vous avez deux possibilités :
     - une construction neuve avec un travail important sur l'isolation 
     - une construction neuve avec moins de performance au niveau de l'enveloppe</t>
  </si>
  <si>
    <t>Dès ces premiers éléments remplit, il est possible de visualiser la consommation de chauffage, d'eau chaude sanitaire et de rafraichissement en kWhEP/m².</t>
  </si>
  <si>
    <t xml:space="preserve">Vous pouvez aussi sélectionner la prise en compte - ou non - du confort d'été.
Ensuite, vous allez décrire les logements (l'intégralité ou les plus représentatifs de votre opération). Sachant qu'une ligne correspond à un logement.
Rendez-vous ensuite sur l'onglet résultat correspondant. </t>
  </si>
  <si>
    <t>https://www.fournisseur-energie.com/engie/abonnement/gaz/</t>
  </si>
  <si>
    <t>35 €/bouteille ~ 178kWh</t>
  </si>
  <si>
    <t>* EP = Energie primaire. Elle permet de prendre en compte les pertes énergétiques lors de la transformation de l’énergie. Elle correspond à l’énergie achetée au distributeur d’énergie (que l’on appelle énergie finale) multipliée par un coefficient qui vaut 2,3 pour l’électricité et 1 pour les autres énergies.</t>
  </si>
  <si>
    <t>Gefosat</t>
  </si>
  <si>
    <t>MAJ 08/03/2024</t>
  </si>
  <si>
    <t>tarif réglementé pour l'électricité - MAJ mars 2024</t>
  </si>
  <si>
    <t>tarif réglementé pour le gaz de ville - MAJ mars 2024</t>
  </si>
  <si>
    <t>source tarif ajena - MAJ mars 2024</t>
  </si>
  <si>
    <t>RFR 2023 par UC &lt; à :</t>
  </si>
  <si>
    <t>Simulateur coût d'usage version 2 - Mars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</si>
</sst>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 _€_-;\-* #,##0.00\ _€_-;_-* &quot;-&quot;??\ _€_-;_-@_-"/>
    <numFmt numFmtId="164" formatCode="_-* #,##0.00\ _€_-;\-* #,##0.00\ _€_-;_-* \-??\ _€_-;_-@_-"/>
    <numFmt numFmtId="165" formatCode="_-* #,##0\ _€_-;\-* #,##0\ _€_-;_-* \-??\ _€_-;_-@_-"/>
    <numFmt numFmtId="166" formatCode="_-* #,##0.00&quot; €&quot;_-;\-* #,##0.00&quot; €&quot;_-;_-* \-??&quot; €&quot;_-;_-@_-"/>
    <numFmt numFmtId="167" formatCode="_-* #,##0&quot; €&quot;_-;\-* #,##0&quot; €&quot;_-;_-* \-??&quot; €&quot;_-;_-@_-"/>
    <numFmt numFmtId="168" formatCode="0\ %"/>
    <numFmt numFmtId="169" formatCode="0.00\ %"/>
    <numFmt numFmtId="170" formatCode="_-* #,##0\ [$€-40C]_-;\-* #,##0\ [$€-40C]_-;_-* \-??\ [$€-40C]_-;_-@_-"/>
    <numFmt numFmtId="171" formatCode="0.000"/>
    <numFmt numFmtId="172" formatCode="#,##0&quot; €&quot;;[Red]\-#,##0&quot; €&quot;"/>
    <numFmt numFmtId="173" formatCode="_-* #,##0.0&quot; €&quot;_-;\-* #,##0.0&quot; €&quot;_-;_-* \-??&quot; €&quot;_-;_-@_-"/>
  </numFmts>
  <fonts count="41" x14ac:knownFonts="1">
    <font>
      <sz val="11"/>
      <color rgb="FF000000"/>
      <name val="Calibri"/>
      <family val="2"/>
      <charset val="1"/>
    </font>
    <font>
      <b/>
      <sz val="24"/>
      <color rgb="FFFFFFFF"/>
      <name val="Calibri"/>
      <family val="2"/>
      <charset val="1"/>
    </font>
    <font>
      <b/>
      <sz val="12"/>
      <color rgb="FFFFFFFF"/>
      <name val="Calibri"/>
      <family val="2"/>
      <charset val="1"/>
    </font>
    <font>
      <sz val="12"/>
      <color rgb="FF000000"/>
      <name val="Calibri"/>
      <family val="2"/>
      <charset val="1"/>
    </font>
    <font>
      <b/>
      <sz val="11"/>
      <color rgb="FF000000"/>
      <name val="Calibri"/>
      <family val="2"/>
      <charset val="1"/>
    </font>
    <font>
      <b/>
      <vertAlign val="superscript"/>
      <sz val="11"/>
      <color rgb="FF000000"/>
      <name val="Calibri"/>
      <family val="2"/>
      <charset val="1"/>
    </font>
    <font>
      <b/>
      <sz val="11"/>
      <color rgb="FFFF0000"/>
      <name val="Calibri"/>
      <family val="2"/>
      <charset val="1"/>
    </font>
    <font>
      <sz val="8"/>
      <color rgb="FF000000"/>
      <name val="Calibri"/>
      <family val="2"/>
      <charset val="1"/>
    </font>
    <font>
      <b/>
      <sz val="8"/>
      <color rgb="FF000000"/>
      <name val="Calibri"/>
      <family val="2"/>
      <charset val="1"/>
    </font>
    <font>
      <sz val="10"/>
      <color rgb="FF000000"/>
      <name val="Calibri"/>
      <family val="2"/>
      <charset val="1"/>
    </font>
    <font>
      <u/>
      <sz val="11"/>
      <color rgb="FF000000"/>
      <name val="Calibri"/>
      <family val="2"/>
      <charset val="1"/>
    </font>
    <font>
      <b/>
      <sz val="12"/>
      <color rgb="FF000000"/>
      <name val="Calibri"/>
      <family val="2"/>
      <charset val="1"/>
    </font>
    <font>
      <b/>
      <sz val="24"/>
      <color rgb="FF44546A"/>
      <name val="Calibri"/>
      <family val="2"/>
      <charset val="1"/>
    </font>
    <font>
      <b/>
      <sz val="14"/>
      <name val="Calibri"/>
      <family val="2"/>
      <charset val="1"/>
    </font>
    <font>
      <b/>
      <sz val="10"/>
      <name val="Calibri"/>
      <family val="2"/>
      <charset val="1"/>
    </font>
    <font>
      <sz val="11"/>
      <name val="Calibri"/>
      <family val="2"/>
      <charset val="1"/>
    </font>
    <font>
      <b/>
      <i/>
      <sz val="14"/>
      <name val="Calibri"/>
      <family val="2"/>
      <charset val="1"/>
    </font>
    <font>
      <b/>
      <sz val="10"/>
      <color rgb="FF000000"/>
      <name val="Calibri"/>
      <family val="2"/>
      <charset val="1"/>
    </font>
    <font>
      <sz val="11"/>
      <color rgb="FF000000"/>
      <name val="Calibri"/>
      <family val="2"/>
    </font>
    <font>
      <sz val="9"/>
      <color rgb="FF000000"/>
      <name val="Calibri"/>
      <family val="2"/>
      <charset val="1"/>
    </font>
    <font>
      <sz val="10"/>
      <name val="Arial"/>
      <family val="2"/>
      <charset val="1"/>
    </font>
    <font>
      <b/>
      <vertAlign val="superscript"/>
      <sz val="10"/>
      <name val="Arial"/>
      <family val="2"/>
      <charset val="1"/>
    </font>
    <font>
      <vertAlign val="superscript"/>
      <sz val="10"/>
      <name val="Arial"/>
      <family val="2"/>
      <charset val="1"/>
    </font>
    <font>
      <sz val="10"/>
      <name val="Calibri"/>
      <family val="2"/>
      <charset val="1"/>
    </font>
    <font>
      <vertAlign val="subscript"/>
      <sz val="10"/>
      <name val="Arial"/>
      <family val="2"/>
      <charset val="1"/>
    </font>
    <font>
      <u/>
      <sz val="8.8000000000000007"/>
      <color rgb="FF0563C1"/>
      <name val="Calibri"/>
      <family val="2"/>
      <charset val="1"/>
    </font>
    <font>
      <sz val="10"/>
      <color rgb="FF000000"/>
      <name val="Arial"/>
      <family val="2"/>
      <charset val="1"/>
    </font>
    <font>
      <b/>
      <u/>
      <sz val="11"/>
      <color rgb="FF000000"/>
      <name val="Calibri"/>
      <family val="2"/>
      <charset val="1"/>
    </font>
    <font>
      <sz val="11"/>
      <color rgb="FF000000"/>
      <name val="Calibri"/>
      <family val="2"/>
      <charset val="1"/>
    </font>
    <font>
      <b/>
      <sz val="11"/>
      <color rgb="FF000000"/>
      <name val="Calibri"/>
      <family val="2"/>
    </font>
    <font>
      <b/>
      <sz val="12"/>
      <color rgb="FF000000"/>
      <name val="Calibri"/>
      <family val="2"/>
    </font>
    <font>
      <sz val="10.5"/>
      <color rgb="FF000000"/>
      <name val="Calibri"/>
      <family val="2"/>
      <charset val="1"/>
    </font>
    <font>
      <b/>
      <sz val="16"/>
      <color rgb="FF000000"/>
      <name val="Calibri"/>
      <family val="2"/>
    </font>
    <font>
      <b/>
      <sz val="11"/>
      <name val="Calibri"/>
      <family val="2"/>
      <charset val="1"/>
    </font>
    <font>
      <sz val="11"/>
      <color rgb="FFFF0000"/>
      <name val="Calibri"/>
      <family val="2"/>
      <charset val="1"/>
    </font>
    <font>
      <b/>
      <sz val="20"/>
      <color rgb="FF806000"/>
      <name val="Calibri"/>
      <family val="2"/>
      <charset val="1"/>
    </font>
    <font>
      <b/>
      <sz val="14"/>
      <color rgb="FF806000"/>
      <name val="Calibri"/>
      <family val="2"/>
      <charset val="1"/>
    </font>
    <font>
      <b/>
      <u/>
      <sz val="12"/>
      <color rgb="FF806000"/>
      <name val="Calibri"/>
      <family val="2"/>
      <charset val="1"/>
    </font>
    <font>
      <b/>
      <u/>
      <sz val="12"/>
      <color rgb="FF000000"/>
      <name val="Calibri"/>
      <family val="2"/>
      <charset val="1"/>
    </font>
    <font>
      <b/>
      <u/>
      <sz val="8.8000000000000007"/>
      <color rgb="FF0563C1"/>
      <name val="Calibri"/>
      <family val="2"/>
      <charset val="1"/>
    </font>
    <font>
      <i/>
      <sz val="12"/>
      <color rgb="FF000000"/>
      <name val="Calibri"/>
      <family val="2"/>
    </font>
  </fonts>
  <fills count="17">
    <fill>
      <patternFill patternType="none"/>
    </fill>
    <fill>
      <patternFill patternType="gray125"/>
    </fill>
    <fill>
      <patternFill patternType="solid">
        <fgColor rgb="FF002060"/>
        <bgColor rgb="FF000080"/>
      </patternFill>
    </fill>
    <fill>
      <patternFill patternType="solid">
        <fgColor rgb="FFFFD966"/>
        <bgColor rgb="FFF8CBAD"/>
      </patternFill>
    </fill>
    <fill>
      <patternFill patternType="solid">
        <fgColor rgb="FFF2F2F2"/>
        <bgColor rgb="FFEDEDED"/>
      </patternFill>
    </fill>
    <fill>
      <patternFill patternType="solid">
        <fgColor rgb="FFB4C7E7"/>
        <bgColor rgb="FFC9C9C9"/>
      </patternFill>
    </fill>
    <fill>
      <patternFill patternType="solid">
        <fgColor rgb="FFF8CBAD"/>
        <bgColor rgb="FFFBE5D6"/>
      </patternFill>
    </fill>
    <fill>
      <patternFill patternType="solid">
        <fgColor rgb="FFDAE3F3"/>
        <bgColor rgb="FFDEEBF7"/>
      </patternFill>
    </fill>
    <fill>
      <patternFill patternType="solid">
        <fgColor rgb="FFC9C9C9"/>
        <bgColor rgb="FFB4C7E7"/>
      </patternFill>
    </fill>
    <fill>
      <patternFill patternType="solid">
        <fgColor rgb="FF4472C4"/>
        <bgColor rgb="FF5B9BD5"/>
      </patternFill>
    </fill>
    <fill>
      <patternFill patternType="solid">
        <fgColor rgb="FFEDEDED"/>
        <bgColor rgb="FFF2F2F2"/>
      </patternFill>
    </fill>
    <fill>
      <patternFill patternType="solid">
        <fgColor rgb="FFFFFFFF"/>
        <bgColor rgb="FFF2F2F2"/>
      </patternFill>
    </fill>
    <fill>
      <patternFill patternType="solid">
        <fgColor rgb="FFED7D31"/>
        <bgColor rgb="FFFF8080"/>
      </patternFill>
    </fill>
    <fill>
      <patternFill patternType="solid">
        <fgColor rgb="FFFBE5D6"/>
        <bgColor rgb="FFFFF2CC"/>
      </patternFill>
    </fill>
    <fill>
      <patternFill patternType="solid">
        <fgColor rgb="FFFFFF00"/>
        <bgColor rgb="FFFFD966"/>
      </patternFill>
    </fill>
    <fill>
      <patternFill patternType="solid">
        <fgColor rgb="FFFFF2CC"/>
        <bgColor rgb="FFFBE5D6"/>
      </patternFill>
    </fill>
    <fill>
      <patternFill patternType="solid">
        <fgColor rgb="FF6AA443"/>
        <bgColor rgb="FF808080"/>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rgb="FF404040"/>
      </left>
      <right style="thin">
        <color rgb="FF404040"/>
      </right>
      <top style="thin">
        <color rgb="FF404040"/>
      </top>
      <bottom style="thin">
        <color rgb="FF404040"/>
      </bottom>
      <diagonal/>
    </border>
    <border>
      <left style="thin">
        <color rgb="FF404040"/>
      </left>
      <right/>
      <top style="thin">
        <color rgb="FF404040"/>
      </top>
      <bottom style="thin">
        <color rgb="FF404040"/>
      </bottom>
      <diagonal/>
    </border>
    <border>
      <left/>
      <right/>
      <top style="thin">
        <color rgb="FF404040"/>
      </top>
      <bottom style="thin">
        <color rgb="FF404040"/>
      </bottom>
      <diagonal/>
    </border>
    <border>
      <left/>
      <right style="thin">
        <color rgb="FF404040"/>
      </right>
      <top style="thin">
        <color rgb="FF404040"/>
      </top>
      <bottom style="thin">
        <color rgb="FF404040"/>
      </bottom>
      <diagonal/>
    </border>
  </borders>
  <cellStyleXfs count="5">
    <xf numFmtId="0" fontId="0" fillId="0" borderId="0"/>
    <xf numFmtId="164" fontId="28" fillId="0" borderId="0" applyBorder="0" applyProtection="0"/>
    <xf numFmtId="166" fontId="28" fillId="0" borderId="0" applyBorder="0" applyProtection="0"/>
    <xf numFmtId="168" fontId="28" fillId="0" borderId="0" applyBorder="0" applyProtection="0"/>
    <xf numFmtId="0" fontId="25" fillId="0" borderId="0" applyBorder="0" applyProtection="0"/>
  </cellStyleXfs>
  <cellXfs count="225">
    <xf numFmtId="0" fontId="0" fillId="0" borderId="0" xfId="0"/>
    <xf numFmtId="0" fontId="0" fillId="0" borderId="0" xfId="0" applyAlignment="1">
      <alignment wrapText="1"/>
    </xf>
    <xf numFmtId="0" fontId="0" fillId="0" borderId="4" xfId="0" applyBorder="1" applyAlignment="1">
      <alignment horizontal="center" vertical="center" wrapText="1"/>
    </xf>
    <xf numFmtId="0" fontId="4" fillId="4"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wrapText="1"/>
    </xf>
    <xf numFmtId="165" fontId="4" fillId="6" borderId="10" xfId="1" applyNumberFormat="1" applyFont="1" applyFill="1" applyBorder="1" applyAlignment="1" applyProtection="1">
      <alignment vertical="center" wrapText="1"/>
    </xf>
    <xf numFmtId="167" fontId="0" fillId="6" borderId="11" xfId="2" applyNumberFormat="1" applyFont="1" applyFill="1" applyBorder="1" applyAlignment="1" applyProtection="1">
      <alignment horizontal="left" vertical="center" wrapText="1"/>
    </xf>
    <xf numFmtId="167" fontId="0" fillId="6" borderId="2" xfId="2" applyNumberFormat="1" applyFont="1" applyFill="1" applyBorder="1" applyAlignment="1" applyProtection="1">
      <alignment horizontal="center" vertical="center" wrapText="1"/>
    </xf>
    <xf numFmtId="0" fontId="4" fillId="0" borderId="10" xfId="0" applyFont="1" applyBorder="1" applyAlignment="1">
      <alignment horizontal="center" vertical="center" wrapText="1"/>
    </xf>
    <xf numFmtId="0" fontId="0" fillId="0" borderId="6" xfId="0"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6" xfId="0" applyBorder="1" applyAlignment="1">
      <alignment horizontal="left" wrapText="1"/>
    </xf>
    <xf numFmtId="0" fontId="0" fillId="0" borderId="0" xfId="0" applyAlignment="1">
      <alignment horizontal="left" wrapText="1"/>
    </xf>
    <xf numFmtId="0" fontId="4" fillId="4" borderId="12" xfId="0" applyFont="1" applyFill="1" applyBorder="1" applyAlignment="1">
      <alignment horizontal="center" vertical="center" wrapText="1"/>
    </xf>
    <xf numFmtId="0" fontId="4" fillId="4" borderId="12" xfId="0" applyFont="1" applyFill="1" applyBorder="1" applyAlignment="1">
      <alignment vertical="center" wrapText="1"/>
    </xf>
    <xf numFmtId="0" fontId="4" fillId="4" borderId="14" xfId="0" applyFont="1" applyFill="1" applyBorder="1" applyAlignment="1">
      <alignment vertical="center" wrapText="1"/>
    </xf>
    <xf numFmtId="0" fontId="0" fillId="5" borderId="2"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167" fontId="0" fillId="3" borderId="2" xfId="2" applyNumberFormat="1" applyFont="1" applyFill="1" applyBorder="1" applyAlignment="1" applyProtection="1">
      <alignment horizontal="center" vertical="center" wrapText="1"/>
      <protection locked="0"/>
    </xf>
    <xf numFmtId="167" fontId="0" fillId="5" borderId="2" xfId="2" applyNumberFormat="1" applyFont="1" applyFill="1" applyBorder="1" applyAlignment="1" applyProtection="1">
      <alignment horizontal="center" vertical="center" wrapText="1"/>
      <protection locked="0"/>
    </xf>
    <xf numFmtId="0" fontId="4" fillId="7" borderId="2" xfId="0" applyFont="1" applyFill="1" applyBorder="1" applyAlignment="1">
      <alignment horizontal="center" vertical="center" wrapText="1"/>
    </xf>
    <xf numFmtId="0" fontId="0" fillId="0" borderId="2" xfId="0" applyBorder="1" applyAlignment="1">
      <alignment wrapText="1"/>
    </xf>
    <xf numFmtId="0" fontId="0" fillId="8" borderId="2" xfId="0" applyFill="1" applyBorder="1" applyAlignment="1">
      <alignment wrapText="1"/>
    </xf>
    <xf numFmtId="167" fontId="0" fillId="3" borderId="2" xfId="2" applyNumberFormat="1" applyFont="1" applyFill="1" applyBorder="1" applyAlignment="1" applyProtection="1">
      <alignment horizontal="center" vertical="center" wrapText="1"/>
    </xf>
    <xf numFmtId="0" fontId="12" fillId="0" borderId="0" xfId="0" applyFont="1" applyProtection="1">
      <protection hidden="1"/>
    </xf>
    <xf numFmtId="0" fontId="9" fillId="7" borderId="2" xfId="0" applyFont="1" applyFill="1" applyBorder="1" applyAlignment="1">
      <alignment horizontal="center" vertical="center" wrapText="1"/>
    </xf>
    <xf numFmtId="0" fontId="13" fillId="9" borderId="2" xfId="0" applyFont="1" applyFill="1" applyBorder="1" applyAlignment="1">
      <alignment vertical="center" wrapText="1"/>
    </xf>
    <xf numFmtId="0" fontId="15" fillId="0" borderId="0" xfId="0" applyFont="1" applyAlignment="1">
      <alignment vertical="center"/>
    </xf>
    <xf numFmtId="0" fontId="0" fillId="0" borderId="0" xfId="0" applyAlignment="1">
      <alignment vertical="center"/>
    </xf>
    <xf numFmtId="0" fontId="17" fillId="7" borderId="2"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167" fontId="3" fillId="11" borderId="2" xfId="2" applyNumberFormat="1" applyFont="1" applyFill="1" applyBorder="1" applyAlignment="1" applyProtection="1">
      <alignment horizontal="center" vertical="center"/>
    </xf>
    <xf numFmtId="167" fontId="3" fillId="11" borderId="2" xfId="0" applyNumberFormat="1" applyFont="1" applyFill="1" applyBorder="1" applyAlignment="1">
      <alignment horizontal="center" vertical="center"/>
    </xf>
    <xf numFmtId="167" fontId="11" fillId="11" borderId="2" xfId="0" applyNumberFormat="1" applyFont="1" applyFill="1" applyBorder="1" applyAlignment="1">
      <alignment horizontal="center" vertical="center"/>
    </xf>
    <xf numFmtId="0" fontId="3" fillId="11" borderId="2" xfId="0" applyFont="1" applyFill="1" applyBorder="1" applyAlignment="1">
      <alignment horizontal="center" vertical="center"/>
    </xf>
    <xf numFmtId="167" fontId="11" fillId="11" borderId="2" xfId="2" applyNumberFormat="1" applyFont="1" applyFill="1" applyBorder="1" applyAlignment="1" applyProtection="1">
      <alignment horizontal="center" vertical="center"/>
    </xf>
    <xf numFmtId="168" fontId="11" fillId="11" borderId="2" xfId="3" applyFont="1" applyFill="1" applyBorder="1" applyAlignment="1" applyProtection="1">
      <alignment horizontal="center" vertical="center"/>
    </xf>
    <xf numFmtId="168" fontId="3" fillId="11" borderId="2" xfId="3" applyFont="1" applyFill="1" applyBorder="1" applyAlignment="1" applyProtection="1">
      <alignment horizontal="center" vertical="center"/>
    </xf>
    <xf numFmtId="0" fontId="0" fillId="0" borderId="0" xfId="0" applyAlignment="1">
      <alignment horizontal="center" vertical="center"/>
    </xf>
    <xf numFmtId="0" fontId="0" fillId="0" borderId="0" xfId="0" applyProtection="1">
      <protection hidden="1"/>
    </xf>
    <xf numFmtId="0" fontId="0" fillId="0" borderId="2" xfId="0" applyBorder="1" applyProtection="1">
      <protection hidden="1"/>
    </xf>
    <xf numFmtId="0" fontId="0" fillId="0" borderId="12" xfId="0" applyBorder="1" applyProtection="1">
      <protection hidden="1"/>
    </xf>
    <xf numFmtId="2" fontId="0" fillId="0" borderId="12" xfId="0" applyNumberFormat="1" applyBorder="1" applyProtection="1">
      <protection hidden="1"/>
    </xf>
    <xf numFmtId="169" fontId="0" fillId="0" borderId="12" xfId="0" applyNumberFormat="1" applyBorder="1" applyProtection="1">
      <protection hidden="1"/>
    </xf>
    <xf numFmtId="0" fontId="0" fillId="0" borderId="9" xfId="0" applyBorder="1" applyProtection="1">
      <protection hidden="1"/>
    </xf>
    <xf numFmtId="0" fontId="7" fillId="0" borderId="0" xfId="0" applyFont="1" applyAlignment="1" applyProtection="1">
      <alignment wrapText="1"/>
      <protection hidden="1"/>
    </xf>
    <xf numFmtId="0" fontId="19" fillId="0" borderId="0" xfId="0" applyFont="1" applyProtection="1">
      <protection hidden="1"/>
    </xf>
    <xf numFmtId="1" fontId="0" fillId="0" borderId="2" xfId="0" applyNumberFormat="1" applyBorder="1" applyProtection="1">
      <protection hidden="1"/>
    </xf>
    <xf numFmtId="1" fontId="0" fillId="0" borderId="0" xfId="0" applyNumberFormat="1" applyProtection="1">
      <protection hidden="1"/>
    </xf>
    <xf numFmtId="0" fontId="20" fillId="0" borderId="17" xfId="0" applyFont="1" applyBorder="1" applyProtection="1">
      <protection hidden="1"/>
    </xf>
    <xf numFmtId="0" fontId="20" fillId="0" borderId="18" xfId="0" applyFont="1" applyBorder="1" applyProtection="1">
      <protection hidden="1"/>
    </xf>
    <xf numFmtId="0" fontId="20" fillId="0" borderId="19" xfId="0" applyFont="1" applyBorder="1" applyAlignment="1" applyProtection="1">
      <alignment horizontal="center"/>
      <protection hidden="1"/>
    </xf>
    <xf numFmtId="0" fontId="20" fillId="0" borderId="20" xfId="0" applyFont="1" applyBorder="1" applyAlignment="1" applyProtection="1">
      <alignment horizontal="center"/>
      <protection hidden="1"/>
    </xf>
    <xf numFmtId="0" fontId="20" fillId="0" borderId="21" xfId="0" applyFont="1" applyBorder="1" applyProtection="1">
      <protection hidden="1"/>
    </xf>
    <xf numFmtId="0" fontId="20" fillId="0" borderId="22" xfId="0" applyFont="1" applyBorder="1" applyProtection="1">
      <protection hidden="1"/>
    </xf>
    <xf numFmtId="0" fontId="20" fillId="0" borderId="23" xfId="0" applyFont="1" applyBorder="1" applyProtection="1">
      <protection hidden="1"/>
    </xf>
    <xf numFmtId="0" fontId="20" fillId="0" borderId="24" xfId="0" applyFont="1" applyBorder="1" applyProtection="1">
      <protection hidden="1"/>
    </xf>
    <xf numFmtId="0" fontId="20" fillId="0" borderId="1" xfId="0" applyFont="1" applyBorder="1" applyProtection="1">
      <protection hidden="1"/>
    </xf>
    <xf numFmtId="0" fontId="0" fillId="0" borderId="24" xfId="0" applyBorder="1" applyProtection="1">
      <protection hidden="1"/>
    </xf>
    <xf numFmtId="166" fontId="0" fillId="0" borderId="25" xfId="2" applyFont="1" applyBorder="1" applyProtection="1">
      <protection hidden="1"/>
    </xf>
    <xf numFmtId="0" fontId="0" fillId="0" borderId="26" xfId="2" applyNumberFormat="1" applyFont="1" applyBorder="1" applyProtection="1">
      <protection hidden="1"/>
    </xf>
    <xf numFmtId="166" fontId="0" fillId="0" borderId="27" xfId="2" applyFont="1" applyBorder="1" applyProtection="1">
      <protection hidden="1"/>
    </xf>
    <xf numFmtId="0" fontId="20" fillId="0" borderId="26" xfId="0" applyFont="1" applyBorder="1" applyProtection="1">
      <protection hidden="1"/>
    </xf>
    <xf numFmtId="0" fontId="20" fillId="0" borderId="6" xfId="0" applyFont="1" applyBorder="1" applyProtection="1">
      <protection hidden="1"/>
    </xf>
    <xf numFmtId="0" fontId="0" fillId="0" borderId="2" xfId="0" applyBorder="1" applyAlignment="1" applyProtection="1">
      <alignment horizontal="center"/>
      <protection hidden="1"/>
    </xf>
    <xf numFmtId="0" fontId="20" fillId="0" borderId="2" xfId="0" applyFont="1" applyBorder="1" applyProtection="1">
      <protection hidden="1"/>
    </xf>
    <xf numFmtId="0" fontId="20" fillId="0" borderId="28" xfId="0" applyFont="1" applyBorder="1" applyProtection="1">
      <protection hidden="1"/>
    </xf>
    <xf numFmtId="0" fontId="20" fillId="0" borderId="29" xfId="0" applyFont="1" applyBorder="1" applyProtection="1">
      <protection hidden="1"/>
    </xf>
    <xf numFmtId="166" fontId="20" fillId="0" borderId="30" xfId="2" applyFont="1" applyBorder="1" applyProtection="1">
      <protection hidden="1"/>
    </xf>
    <xf numFmtId="166" fontId="0" fillId="0" borderId="31" xfId="2" applyFont="1" applyBorder="1" applyProtection="1">
      <protection hidden="1"/>
    </xf>
    <xf numFmtId="0" fontId="0" fillId="0" borderId="28" xfId="2" applyNumberFormat="1" applyFont="1" applyBorder="1" applyProtection="1">
      <protection hidden="1"/>
    </xf>
    <xf numFmtId="166" fontId="0" fillId="0" borderId="32" xfId="2" applyFont="1" applyBorder="1" applyProtection="1">
      <protection hidden="1"/>
    </xf>
    <xf numFmtId="0" fontId="0" fillId="0" borderId="32" xfId="2" applyNumberFormat="1" applyFont="1" applyBorder="1" applyProtection="1">
      <protection hidden="1"/>
    </xf>
    <xf numFmtId="2" fontId="0" fillId="0" borderId="2" xfId="0" applyNumberFormat="1" applyBorder="1" applyProtection="1">
      <protection hidden="1"/>
    </xf>
    <xf numFmtId="0" fontId="20" fillId="0" borderId="0" xfId="0" applyFont="1" applyProtection="1">
      <protection hidden="1"/>
    </xf>
    <xf numFmtId="0" fontId="0" fillId="0" borderId="2" xfId="0" applyBorder="1" applyAlignment="1" applyProtection="1">
      <alignment horizontal="right"/>
      <protection hidden="1"/>
    </xf>
    <xf numFmtId="0" fontId="20" fillId="0" borderId="2" xfId="0" applyFont="1" applyBorder="1" applyAlignment="1" applyProtection="1">
      <alignment horizontal="right"/>
      <protection hidden="1"/>
    </xf>
    <xf numFmtId="0" fontId="0" fillId="0" borderId="2" xfId="2" applyNumberFormat="1" applyFont="1" applyBorder="1" applyProtection="1">
      <protection hidden="1"/>
    </xf>
    <xf numFmtId="0" fontId="20" fillId="0" borderId="0" xfId="0" applyFont="1" applyAlignment="1" applyProtection="1">
      <alignment vertical="top" wrapText="1"/>
      <protection hidden="1"/>
    </xf>
    <xf numFmtId="170" fontId="0" fillId="0" borderId="0" xfId="0" applyNumberFormat="1" applyProtection="1">
      <protection hidden="1"/>
    </xf>
    <xf numFmtId="0" fontId="0" fillId="0" borderId="0" xfId="3" applyNumberFormat="1" applyFont="1" applyBorder="1" applyProtection="1">
      <protection hidden="1"/>
    </xf>
    <xf numFmtId="2" fontId="0" fillId="0" borderId="0" xfId="0" applyNumberFormat="1" applyProtection="1">
      <protection hidden="1"/>
    </xf>
    <xf numFmtId="0" fontId="0" fillId="0" borderId="10" xfId="0" applyBorder="1" applyProtection="1">
      <protection hidden="1"/>
    </xf>
    <xf numFmtId="171" fontId="0" fillId="0" borderId="2" xfId="0" applyNumberFormat="1" applyBorder="1" applyProtection="1">
      <protection hidden="1"/>
    </xf>
    <xf numFmtId="0" fontId="0" fillId="0" borderId="0" xfId="0" applyAlignment="1" applyProtection="1">
      <alignment horizontal="center"/>
      <protection hidden="1"/>
    </xf>
    <xf numFmtId="169" fontId="0" fillId="0" borderId="0" xfId="0" applyNumberFormat="1" applyProtection="1">
      <protection hidden="1"/>
    </xf>
    <xf numFmtId="0" fontId="25" fillId="0" borderId="0" xfId="4" applyBorder="1" applyAlignment="1" applyProtection="1">
      <alignment vertical="center"/>
    </xf>
    <xf numFmtId="0" fontId="0" fillId="0" borderId="33" xfId="0" applyBorder="1" applyAlignment="1">
      <alignment vertical="center"/>
    </xf>
    <xf numFmtId="172" fontId="0" fillId="0" borderId="33" xfId="0" applyNumberFormat="1" applyBorder="1" applyAlignment="1">
      <alignment vertical="center"/>
    </xf>
    <xf numFmtId="0" fontId="25" fillId="0" borderId="0" xfId="4" applyBorder="1" applyProtection="1">
      <protection hidden="1"/>
    </xf>
    <xf numFmtId="170" fontId="0" fillId="14" borderId="0" xfId="0" applyNumberFormat="1" applyFill="1" applyProtection="1">
      <protection hidden="1"/>
    </xf>
    <xf numFmtId="0" fontId="0" fillId="0" borderId="0" xfId="0" applyAlignment="1" applyProtection="1">
      <alignment wrapText="1"/>
      <protection hidden="1"/>
    </xf>
    <xf numFmtId="0" fontId="25" fillId="0" borderId="0" xfId="4" applyBorder="1" applyProtection="1"/>
    <xf numFmtId="0" fontId="0" fillId="15" borderId="2" xfId="0" applyFill="1" applyBorder="1" applyAlignment="1">
      <alignment vertical="center"/>
    </xf>
    <xf numFmtId="0" fontId="0" fillId="15" borderId="2" xfId="0" applyFill="1" applyBorder="1" applyAlignment="1">
      <alignment vertical="center" wrapText="1"/>
    </xf>
    <xf numFmtId="0" fontId="0" fillId="0" borderId="0" xfId="0" applyAlignment="1">
      <alignment vertical="center" wrapText="1"/>
    </xf>
    <xf numFmtId="0" fontId="0" fillId="16" borderId="2" xfId="0" applyFill="1" applyBorder="1" applyAlignment="1" applyProtection="1">
      <alignment vertical="center"/>
      <protection locked="0"/>
    </xf>
    <xf numFmtId="0" fontId="0" fillId="0" borderId="2" xfId="0" applyBorder="1" applyAlignment="1">
      <alignment vertical="center"/>
    </xf>
    <xf numFmtId="0" fontId="20" fillId="15" borderId="2" xfId="0" applyFont="1" applyFill="1" applyBorder="1" applyAlignment="1">
      <alignment horizontal="center" vertical="center" wrapText="1"/>
    </xf>
    <xf numFmtId="0" fontId="20" fillId="15" borderId="2" xfId="0" applyFont="1" applyFill="1" applyBorder="1" applyAlignment="1">
      <alignment horizontal="center" vertical="center"/>
    </xf>
    <xf numFmtId="0" fontId="0" fillId="0" borderId="0" xfId="0" applyAlignment="1" applyProtection="1">
      <alignment vertical="center"/>
      <protection locked="0"/>
    </xf>
    <xf numFmtId="0" fontId="27" fillId="0" borderId="0" xfId="0" applyFont="1"/>
    <xf numFmtId="0" fontId="0" fillId="0" borderId="0" xfId="0" applyProtection="1">
      <protection locked="0"/>
    </xf>
    <xf numFmtId="0" fontId="0" fillId="0" borderId="0" xfId="0" applyAlignment="1" applyProtection="1">
      <alignment horizontal="right"/>
      <protection hidden="1"/>
    </xf>
    <xf numFmtId="0" fontId="0" fillId="0" borderId="0" xfId="0" applyAlignment="1" applyProtection="1">
      <alignment horizontal="left"/>
      <protection hidden="1"/>
    </xf>
    <xf numFmtId="0" fontId="31" fillId="5" borderId="2" xfId="0" applyFont="1" applyFill="1" applyBorder="1" applyAlignment="1" applyProtection="1">
      <alignment horizontal="center" vertical="center" wrapText="1"/>
      <protection locked="0"/>
    </xf>
    <xf numFmtId="164" fontId="28" fillId="0" borderId="12" xfId="1" applyBorder="1" applyProtection="1">
      <protection hidden="1"/>
    </xf>
    <xf numFmtId="43" fontId="0" fillId="0" borderId="12" xfId="0" applyNumberFormat="1" applyBorder="1" applyProtection="1">
      <protection hidden="1"/>
    </xf>
    <xf numFmtId="0" fontId="9" fillId="0" borderId="0" xfId="0" applyFont="1" applyAlignment="1">
      <alignment horizontal="center" vertical="center" wrapText="1"/>
    </xf>
    <xf numFmtId="0" fontId="29" fillId="0" borderId="2" xfId="0" applyFont="1" applyBorder="1" applyAlignment="1">
      <alignment horizontal="center" vertical="center" wrapText="1"/>
    </xf>
    <xf numFmtId="168" fontId="30" fillId="0" borderId="2" xfId="3" applyFont="1" applyBorder="1" applyAlignment="1" applyProtection="1">
      <alignment horizontal="center" vertical="center"/>
    </xf>
    <xf numFmtId="0" fontId="20" fillId="0" borderId="2" xfId="0" applyFont="1" applyBorder="1" applyAlignment="1" applyProtection="1">
      <alignment vertical="center"/>
      <protection hidden="1"/>
    </xf>
    <xf numFmtId="0" fontId="18"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2" fillId="3" borderId="2" xfId="0" applyFont="1" applyFill="1" applyBorder="1" applyAlignment="1" applyProtection="1">
      <alignment horizontal="center" vertical="center" wrapText="1"/>
      <protection locked="0"/>
    </xf>
    <xf numFmtId="0" fontId="0" fillId="0" borderId="1" xfId="0" applyBorder="1" applyAlignment="1">
      <alignment horizontal="left" wrapText="1"/>
    </xf>
    <xf numFmtId="0" fontId="0" fillId="0" borderId="7" xfId="0" applyBorder="1" applyAlignment="1">
      <alignment horizontal="left" wrapText="1"/>
    </xf>
    <xf numFmtId="0" fontId="0" fillId="0" borderId="15" xfId="0" applyBorder="1" applyAlignment="1">
      <alignment horizontal="center" vertical="center" wrapText="1"/>
    </xf>
    <xf numFmtId="0" fontId="0" fillId="0" borderId="8" xfId="0" applyBorder="1" applyAlignment="1">
      <alignment wrapText="1"/>
    </xf>
    <xf numFmtId="0" fontId="0" fillId="0" borderId="7" xfId="0" applyBorder="1" applyAlignment="1">
      <alignment wrapText="1"/>
    </xf>
    <xf numFmtId="0" fontId="0" fillId="0" borderId="4" xfId="0" applyBorder="1" applyAlignment="1">
      <alignment vertical="center" wrapText="1"/>
    </xf>
    <xf numFmtId="0" fontId="0" fillId="0" borderId="1" xfId="0" applyBorder="1" applyAlignment="1">
      <alignment vertical="center" wrapText="1"/>
    </xf>
    <xf numFmtId="0" fontId="0" fillId="0" borderId="5" xfId="0" applyBorder="1" applyAlignment="1">
      <alignment wrapText="1"/>
    </xf>
    <xf numFmtId="0" fontId="15" fillId="0" borderId="0" xfId="0" applyFont="1" applyAlignment="1">
      <alignment wrapText="1"/>
    </xf>
    <xf numFmtId="0" fontId="15" fillId="0" borderId="0" xfId="0" applyFont="1"/>
    <xf numFmtId="0" fontId="34" fillId="0" borderId="0" xfId="0" applyFont="1" applyAlignment="1">
      <alignment wrapText="1"/>
    </xf>
    <xf numFmtId="0" fontId="4" fillId="5" borderId="9" xfId="0" applyFont="1" applyFill="1" applyBorder="1" applyAlignment="1" applyProtection="1">
      <alignment horizontal="left" vertical="center" wrapText="1"/>
      <protection locked="0"/>
    </xf>
    <xf numFmtId="1" fontId="0" fillId="13" borderId="2" xfId="0" applyNumberFormat="1" applyFill="1" applyBorder="1" applyAlignment="1">
      <alignment horizontal="center" vertical="center"/>
    </xf>
    <xf numFmtId="165" fontId="0" fillId="0" borderId="2" xfId="1" applyNumberFormat="1" applyFont="1" applyBorder="1" applyAlignment="1" applyProtection="1">
      <alignment horizontal="center" vertical="center"/>
    </xf>
    <xf numFmtId="1" fontId="0" fillId="0" borderId="2" xfId="0" applyNumberFormat="1" applyBorder="1" applyAlignment="1">
      <alignment horizontal="center" vertical="center"/>
    </xf>
    <xf numFmtId="173" fontId="3" fillId="11" borderId="2" xfId="2" applyNumberFormat="1" applyFont="1" applyFill="1" applyBorder="1" applyAlignment="1" applyProtection="1">
      <alignment horizontal="center" vertical="center"/>
    </xf>
    <xf numFmtId="0" fontId="0" fillId="15" borderId="2" xfId="0" applyFill="1" applyBorder="1" applyAlignment="1">
      <alignment horizontal="center" vertical="center"/>
    </xf>
    <xf numFmtId="0" fontId="36" fillId="0" borderId="0" xfId="0" applyFont="1"/>
    <xf numFmtId="0" fontId="0" fillId="0" borderId="0" xfId="0" applyAlignment="1">
      <alignment vertical="top"/>
    </xf>
    <xf numFmtId="0" fontId="37" fillId="0" borderId="0" xfId="0" applyFont="1" applyAlignment="1">
      <alignment vertical="top"/>
    </xf>
    <xf numFmtId="0" fontId="38" fillId="0" borderId="0" xfId="0" applyFont="1" applyProtection="1">
      <protection hidden="1"/>
    </xf>
    <xf numFmtId="0" fontId="39" fillId="0" borderId="0" xfId="4" applyFont="1" applyBorder="1" applyAlignment="1" applyProtection="1">
      <alignment vertical="top"/>
    </xf>
    <xf numFmtId="0" fontId="0" fillId="4" borderId="2" xfId="0" applyFill="1" applyBorder="1" applyProtection="1">
      <protection hidden="1"/>
    </xf>
    <xf numFmtId="170" fontId="0" fillId="0" borderId="2" xfId="0" applyNumberFormat="1" applyBorder="1" applyProtection="1">
      <protection hidden="1"/>
    </xf>
    <xf numFmtId="0" fontId="0" fillId="4" borderId="2" xfId="0" applyFill="1" applyBorder="1" applyAlignment="1" applyProtection="1">
      <alignment wrapText="1"/>
      <protection hidden="1"/>
    </xf>
    <xf numFmtId="0" fontId="0" fillId="4" borderId="33" xfId="0" applyFill="1" applyBorder="1" applyAlignment="1">
      <alignment vertical="center"/>
    </xf>
    <xf numFmtId="0" fontId="40" fillId="0" borderId="0" xfId="0" applyFont="1" applyProtection="1">
      <protection hidden="1"/>
    </xf>
    <xf numFmtId="0" fontId="25" fillId="0" borderId="0" xfId="4"/>
    <xf numFmtId="171" fontId="0" fillId="16" borderId="2" xfId="0" applyNumberFormat="1" applyFill="1" applyBorder="1" applyAlignment="1" applyProtection="1">
      <alignment vertical="center"/>
      <protection locked="0"/>
    </xf>
    <xf numFmtId="0" fontId="35" fillId="0" borderId="2" xfId="0" applyFont="1" applyBorder="1" applyAlignment="1">
      <alignment horizontal="center"/>
    </xf>
    <xf numFmtId="0" fontId="33" fillId="11" borderId="0" xfId="0" applyFont="1" applyFill="1" applyAlignment="1">
      <alignment horizontal="left" vertical="top" wrapText="1"/>
    </xf>
    <xf numFmtId="0" fontId="0" fillId="0" borderId="0" xfId="0" applyAlignment="1">
      <alignment horizontal="left" vertical="top" wrapText="1"/>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38" fillId="0" borderId="0" xfId="0" applyFont="1" applyAlignment="1">
      <alignment horizontal="left" vertical="top"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0" fillId="0" borderId="0" xfId="0" applyAlignment="1">
      <alignment horizontal="left" wrapText="1"/>
    </xf>
    <xf numFmtId="0" fontId="4" fillId="4" borderId="10" xfId="0"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4" fillId="4" borderId="2" xfId="0" applyFont="1" applyFill="1" applyBorder="1" applyAlignment="1">
      <alignment horizontal="center" vertical="center" wrapText="1"/>
    </xf>
    <xf numFmtId="166" fontId="0" fillId="3" borderId="2" xfId="2" applyFont="1" applyFill="1" applyBorder="1" applyAlignment="1" applyProtection="1">
      <alignment horizontal="center" vertical="center" wrapText="1"/>
      <protection locked="0"/>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33" fillId="4" borderId="10"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4" fillId="5" borderId="10"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left" vertical="center" wrapText="1"/>
      <protection locked="0"/>
    </xf>
    <xf numFmtId="0" fontId="0" fillId="5" borderId="15"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7"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2" xfId="0" applyFill="1" applyBorder="1" applyAlignment="1">
      <alignment horizontal="center" vertical="center" wrapText="1"/>
    </xf>
    <xf numFmtId="167" fontId="0" fillId="6" borderId="15" xfId="2" applyNumberFormat="1" applyFont="1" applyFill="1" applyBorder="1" applyAlignment="1" applyProtection="1">
      <alignment horizontal="center" vertical="center" wrapText="1"/>
    </xf>
    <xf numFmtId="167" fontId="0" fillId="6" borderId="8" xfId="2" applyNumberFormat="1" applyFont="1" applyFill="1" applyBorder="1" applyAlignment="1" applyProtection="1">
      <alignment horizontal="center" vertical="center" wrapText="1"/>
    </xf>
    <xf numFmtId="167" fontId="0" fillId="6" borderId="13" xfId="2" applyNumberFormat="1" applyFont="1" applyFill="1" applyBorder="1" applyAlignment="1" applyProtection="1">
      <alignment horizontal="center" vertical="center" wrapText="1"/>
    </xf>
    <xf numFmtId="167" fontId="0" fillId="6" borderId="7" xfId="2" applyNumberFormat="1" applyFont="1" applyFill="1" applyBorder="1" applyAlignment="1" applyProtection="1">
      <alignment horizontal="center" vertical="center" wrapText="1"/>
    </xf>
    <xf numFmtId="165" fontId="0" fillId="0" borderId="2" xfId="1" applyNumberFormat="1" applyFont="1" applyBorder="1" applyAlignment="1" applyProtection="1">
      <alignment horizontal="center" vertical="center"/>
    </xf>
    <xf numFmtId="0" fontId="13" fillId="9" borderId="10" xfId="0" applyFont="1" applyFill="1" applyBorder="1" applyAlignment="1">
      <alignment horizontal="center" vertical="center"/>
    </xf>
    <xf numFmtId="0" fontId="13" fillId="9" borderId="2" xfId="0" applyFont="1" applyFill="1" applyBorder="1" applyAlignment="1">
      <alignment horizontal="center" vertical="center"/>
    </xf>
    <xf numFmtId="0" fontId="13" fillId="12" borderId="3"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13" fillId="12" borderId="5"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6" fillId="8" borderId="2" xfId="0" applyFont="1" applyFill="1" applyBorder="1" applyAlignment="1">
      <alignment horizontal="center" vertical="center"/>
    </xf>
    <xf numFmtId="0" fontId="1" fillId="2" borderId="15" xfId="0" applyFont="1" applyFill="1" applyBorder="1" applyAlignment="1" applyProtection="1">
      <alignment horizontal="center"/>
      <protection hidden="1"/>
    </xf>
    <xf numFmtId="0" fontId="1" fillId="2" borderId="0" xfId="0" applyFont="1" applyFill="1" applyAlignment="1" applyProtection="1">
      <alignment horizontal="center"/>
      <protection hidden="1"/>
    </xf>
    <xf numFmtId="0" fontId="9" fillId="13" borderId="12" xfId="0" applyFont="1" applyFill="1" applyBorder="1" applyAlignment="1">
      <alignment horizontal="center" vertical="center" wrapText="1"/>
    </xf>
    <xf numFmtId="0" fontId="9" fillId="0" borderId="2" xfId="0" applyFont="1" applyBorder="1" applyAlignment="1">
      <alignment horizontal="center" vertical="center" wrapText="1"/>
    </xf>
    <xf numFmtId="0" fontId="13" fillId="12" borderId="10" xfId="0" applyFont="1" applyFill="1" applyBorder="1" applyAlignment="1">
      <alignment horizontal="center" vertical="center"/>
    </xf>
    <xf numFmtId="0" fontId="13" fillId="12" borderId="6" xfId="0" applyFont="1" applyFill="1" applyBorder="1" applyAlignment="1">
      <alignment horizontal="center" vertical="center"/>
    </xf>
    <xf numFmtId="0" fontId="13" fillId="12" borderId="11" xfId="0" applyFont="1" applyFill="1" applyBorder="1" applyAlignment="1">
      <alignment horizontal="center" vertical="center"/>
    </xf>
    <xf numFmtId="0" fontId="2" fillId="2" borderId="2" xfId="0" applyFont="1" applyFill="1" applyBorder="1" applyAlignment="1">
      <alignment horizontal="left" wrapText="1"/>
    </xf>
    <xf numFmtId="0" fontId="11" fillId="0" borderId="12" xfId="0" applyFont="1" applyBorder="1" applyAlignment="1">
      <alignment horizontal="center" vertical="center"/>
    </xf>
    <xf numFmtId="0" fontId="9" fillId="7" borderId="2" xfId="0" applyFont="1" applyFill="1" applyBorder="1" applyAlignment="1">
      <alignment horizontal="center" vertical="center" wrapText="1"/>
    </xf>
    <xf numFmtId="0" fontId="0" fillId="0" borderId="2" xfId="0" applyBorder="1" applyAlignment="1" applyProtection="1">
      <alignment horizontal="center"/>
      <protection hidden="1"/>
    </xf>
    <xf numFmtId="0" fontId="0" fillId="0" borderId="2" xfId="0" applyBorder="1" applyAlignment="1" applyProtection="1">
      <alignment horizontal="center" vertical="center" wrapText="1"/>
      <protection hidden="1"/>
    </xf>
    <xf numFmtId="0" fontId="0" fillId="0" borderId="16" xfId="0" applyBorder="1" applyAlignment="1" applyProtection="1">
      <alignment horizontal="center"/>
      <protection hidden="1"/>
    </xf>
    <xf numFmtId="0" fontId="18" fillId="0" borderId="2" xfId="0" applyFont="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0" xfId="0" applyAlignment="1" applyProtection="1">
      <alignment horizontal="center"/>
      <protection hidden="1"/>
    </xf>
    <xf numFmtId="0" fontId="0" fillId="0" borderId="33" xfId="0" applyBorder="1" applyAlignment="1">
      <alignment horizontal="center" vertical="center"/>
    </xf>
    <xf numFmtId="0" fontId="0" fillId="15" borderId="2" xfId="0" applyFill="1" applyBorder="1" applyAlignment="1" applyProtection="1">
      <alignment horizontal="center" vertical="center"/>
      <protection locked="0"/>
    </xf>
    <xf numFmtId="0" fontId="0" fillId="15" borderId="2" xfId="0" applyFill="1" applyBorder="1" applyAlignment="1">
      <alignment horizontal="center" vertical="center"/>
    </xf>
    <xf numFmtId="0" fontId="26" fillId="15" borderId="2" xfId="0" applyFont="1" applyFill="1" applyBorder="1" applyAlignment="1">
      <alignment horizontal="center" vertical="center"/>
    </xf>
  </cellXfs>
  <cellStyles count="5">
    <cellStyle name="Lien hypertexte" xfId="4" builtinId="8"/>
    <cellStyle name="Milliers" xfId="1" builtinId="3"/>
    <cellStyle name="Monétaire" xfId="2" builtinId="4"/>
    <cellStyle name="Normal" xfId="0" builtinId="0"/>
    <cellStyle name="Pourcentage" xfId="3" builtinId="5"/>
  </cellStyles>
  <dxfs count="11">
    <dxf>
      <font>
        <color rgb="FFFFFFFF"/>
      </font>
    </dxf>
    <dxf>
      <font>
        <color rgb="FFFFFFFF"/>
      </font>
    </dxf>
    <dxf>
      <font>
        <color rgb="FF9C0006"/>
      </font>
      <fill>
        <patternFill>
          <bgColor rgb="FFFFC7CE"/>
        </patternFill>
      </fill>
    </dxf>
    <dxf>
      <font>
        <color rgb="FF006100"/>
      </font>
      <fill>
        <patternFill>
          <bgColor rgb="FFC6EFCE"/>
        </patternFill>
      </fill>
    </dxf>
    <dxf>
      <fill>
        <patternFill>
          <bgColor rgb="FF006600"/>
        </patternFill>
      </fill>
    </dxf>
    <dxf>
      <fill>
        <patternFill>
          <bgColor rgb="FF00B050"/>
        </patternFill>
      </fill>
    </dxf>
    <dxf>
      <fill>
        <patternFill>
          <bgColor rgb="FF00FF00"/>
        </patternFill>
      </fill>
    </dxf>
    <dxf>
      <fill>
        <patternFill>
          <bgColor rgb="FFFFFF00"/>
        </patternFill>
      </fill>
    </dxf>
    <dxf>
      <fill>
        <patternFill>
          <bgColor rgb="FFFFC000"/>
        </patternFill>
      </fill>
    </dxf>
    <dxf>
      <fill>
        <patternFill>
          <bgColor rgb="FFFF99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9C9C9"/>
      <rgbColor rgb="FF808080"/>
      <rgbColor rgb="FF5B9BD5"/>
      <rgbColor rgb="FF993366"/>
      <rgbColor rgb="FFFFF2CC"/>
      <rgbColor rgb="FFDEEBF7"/>
      <rgbColor rgb="FF660066"/>
      <rgbColor rgb="FFFF8080"/>
      <rgbColor rgb="FF0563C1"/>
      <rgbColor rgb="FFB4C7E7"/>
      <rgbColor rgb="FF000080"/>
      <rgbColor rgb="FFFF00FF"/>
      <rgbColor rgb="FFFFD966"/>
      <rgbColor rgb="FF00FFFF"/>
      <rgbColor rgb="FF800080"/>
      <rgbColor rgb="FF800000"/>
      <rgbColor rgb="FF008080"/>
      <rgbColor rgb="FF0000FF"/>
      <rgbColor rgb="FF00CCFF"/>
      <rgbColor rgb="FFDAE3F3"/>
      <rgbColor rgb="FFE2F0D9"/>
      <rgbColor rgb="FFFBE5D6"/>
      <rgbColor rgb="FFEDEDED"/>
      <rgbColor rgb="FFF2F2F2"/>
      <rgbColor rgb="FFCC99FF"/>
      <rgbColor rgb="FFF8CBAD"/>
      <rgbColor rgb="FF4472C4"/>
      <rgbColor rgb="FF33CCCC"/>
      <rgbColor rgb="FF99CC00"/>
      <rgbColor rgb="FFFFC000"/>
      <rgbColor rgb="FFFF9900"/>
      <rgbColor rgb="FFED7D31"/>
      <rgbColor rgb="FF44546A"/>
      <rgbColor rgb="FF969696"/>
      <rgbColor rgb="FF002060"/>
      <rgbColor rgb="FF6AA443"/>
      <rgbColor rgb="FF003300"/>
      <rgbColor rgb="FF333300"/>
      <rgbColor rgb="FF993300"/>
      <rgbColor rgb="FF993366"/>
      <rgbColor rgb="FF333399"/>
      <rgbColor rgb="FF404040"/>
      <rgbColor rgb="00003366"/>
      <rgbColor rgb="00339966"/>
      <rgbColor rgb="00003300"/>
      <rgbColor rgb="00333300"/>
      <rgbColor rgb="00993300"/>
      <rgbColor rgb="00993366"/>
      <rgbColor rgb="00333399"/>
      <rgbColor rgb="00333333"/>
    </indexedColors>
    <mruColors>
      <color rgb="FF006600"/>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167715</xdr:colOff>
      <xdr:row>3</xdr:row>
      <xdr:rowOff>105269</xdr:rowOff>
    </xdr:from>
    <xdr:to>
      <xdr:col>17</xdr:col>
      <xdr:colOff>437955</xdr:colOff>
      <xdr:row>17</xdr:row>
      <xdr:rowOff>114300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167715" y="664069"/>
          <a:ext cx="12601940" cy="2498231"/>
        </a:xfrm>
        <a:prstGeom prst="rect">
          <a:avLst/>
        </a:prstGeom>
        <a:solidFill>
          <a:schemeClr val="accent3">
            <a:lumMod val="40000"/>
            <a:lumOff val="60000"/>
          </a:schemeClr>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lstStyle/>
        <a:p>
          <a:r>
            <a:rPr lang="fr-FR" sz="1200" b="1" strike="noStrike" spc="-1">
              <a:solidFill>
                <a:srgbClr val="000000"/>
              </a:solidFill>
              <a:latin typeface="Calibri"/>
            </a:rPr>
            <a:t>D'où vient ce simulateur</a:t>
          </a:r>
          <a:endParaRPr lang="fr-FR" sz="1200" b="0" strike="noStrike" spc="-1">
            <a:latin typeface="Times New Roman"/>
          </a:endParaRPr>
        </a:p>
        <a:p>
          <a:r>
            <a:rPr lang="fr-FR" sz="1100" b="0" strike="noStrike" spc="-1">
              <a:solidFill>
                <a:srgbClr val="000000"/>
              </a:solidFill>
              <a:latin typeface="Calibri"/>
            </a:rPr>
            <a:t>Cet outil a été développé par </a:t>
          </a:r>
          <a:r>
            <a:rPr lang="fr-FR" sz="1100" b="1" strike="noStrike" spc="-1">
              <a:solidFill>
                <a:srgbClr val="000000"/>
              </a:solidFill>
              <a:latin typeface="Calibri"/>
            </a:rPr>
            <a:t>l'Agence Locale de l'Energie d'Indre et Loire</a:t>
          </a:r>
          <a:r>
            <a:rPr lang="fr-FR" sz="1100" b="0" strike="noStrike" spc="-1">
              <a:solidFill>
                <a:srgbClr val="000000"/>
              </a:solidFill>
              <a:latin typeface="Calibri"/>
            </a:rPr>
            <a:t> pour la </a:t>
          </a:r>
          <a:r>
            <a:rPr lang="fr-FR" sz="1100" b="1" strike="noStrike" spc="-1">
              <a:solidFill>
                <a:srgbClr val="000000"/>
              </a:solidFill>
              <a:latin typeface="Calibri"/>
            </a:rPr>
            <a:t>Fondation Abbé Pierre, </a:t>
          </a:r>
          <a:r>
            <a:rPr lang="fr-FR" sz="1100" b="0" strike="noStrike" spc="-1">
              <a:solidFill>
                <a:srgbClr val="000000"/>
              </a:solidFill>
              <a:latin typeface="Calibri"/>
            </a:rPr>
            <a:t>dans le cadre de son programme </a:t>
          </a:r>
          <a:r>
            <a:rPr lang="fr-FR" sz="1100" b="1" strike="noStrike" spc="-1">
              <a:solidFill>
                <a:srgbClr val="000000"/>
              </a:solidFill>
              <a:latin typeface="Calibri"/>
            </a:rPr>
            <a:t>Toits d'Abord </a:t>
          </a:r>
          <a:r>
            <a:rPr lang="fr-FR" sz="1100" b="0" strike="noStrike" spc="-1">
              <a:solidFill>
                <a:srgbClr val="000000"/>
              </a:solidFill>
              <a:latin typeface="Calibri"/>
            </a:rPr>
            <a:t>de soutien à la production de logements d'insertion. Depuis 2019, </a:t>
          </a:r>
          <a:r>
            <a:rPr lang="fr-FR" sz="1100" b="1" strike="noStrike" spc="-1">
              <a:solidFill>
                <a:srgbClr val="000000"/>
              </a:solidFill>
              <a:latin typeface="Calibri"/>
            </a:rPr>
            <a:t>Gefosat</a:t>
          </a:r>
          <a:r>
            <a:rPr lang="fr-FR" sz="1100" b="0" strike="noStrike" spc="-1">
              <a:solidFill>
                <a:srgbClr val="000000"/>
              </a:solidFill>
              <a:latin typeface="Calibri"/>
            </a:rPr>
            <a:t> assure la mise à jour et les évolutions de l'outil.</a:t>
          </a:r>
          <a:endParaRPr lang="fr-FR" sz="1100" b="0" strike="noStrike" spc="-1">
            <a:latin typeface="Times New Roman"/>
          </a:endParaRPr>
        </a:p>
        <a:p>
          <a:r>
            <a:rPr lang="fr-FR" sz="1100" b="0" strike="noStrike" spc="-1">
              <a:solidFill>
                <a:srgbClr val="000000"/>
              </a:solidFill>
              <a:latin typeface="Calibri"/>
            </a:rPr>
            <a:t>Ce simulateur a pour objectif  de partager des références communes et de faciliter la simulation du coût d'usage et du reste pour vivre des futurs locataires de logements très sociaux produits par acquisition-amélioration ou bail à réhabilitation.</a:t>
          </a:r>
          <a:endParaRPr lang="fr-FR" sz="1100" b="0" strike="noStrike" spc="-1">
            <a:latin typeface="Times New Roman"/>
          </a:endParaRPr>
        </a:p>
        <a:p>
          <a:r>
            <a:rPr lang="fr-FR" sz="1100" b="0" strike="noStrike" spc="-1">
              <a:solidFill>
                <a:srgbClr val="000000"/>
              </a:solidFill>
              <a:latin typeface="Calibri"/>
            </a:rPr>
            <a:t>Il est maintenu à jour sur la base des tarifs réglementés pour l'électricité et le gaz de réseau et la base ministérielle Pégase pour les autres.</a:t>
          </a:r>
          <a:endParaRPr lang="fr-FR" sz="1100" b="0" strike="noStrike" spc="-1">
            <a:latin typeface="Times New Roman"/>
          </a:endParaRPr>
        </a:p>
        <a:p>
          <a:r>
            <a:rPr lang="fr-FR" sz="1100" b="0" strike="noStrike" spc="-1">
              <a:solidFill>
                <a:srgbClr val="000000"/>
              </a:solidFill>
              <a:latin typeface="Calibri"/>
            </a:rPr>
            <a:t>Les tarifs socaux (TPN et TSS) ont été remplacés par le chèque énergie.</a:t>
          </a:r>
          <a:endParaRPr lang="fr-FR" sz="1100" b="0" strike="noStrike" spc="-1">
            <a:latin typeface="Times New Roman"/>
          </a:endParaRPr>
        </a:p>
        <a:p>
          <a:r>
            <a:rPr lang="fr-FR" sz="1100" b="0" strike="noStrike" spc="-1">
              <a:solidFill>
                <a:srgbClr val="000000"/>
              </a:solidFill>
              <a:latin typeface="Calibri"/>
            </a:rPr>
            <a:t>La simulation produite n'est ni précise ni exacte mais vise à projeter au mieux, sur la base d'informations simples et au-delà des consommations conventionnelles, le coût complet du logement pour les locataires auquel il sera loué.</a:t>
          </a:r>
          <a:endParaRPr lang="fr-FR" sz="1100" b="0" strike="noStrike" spc="-1">
            <a:latin typeface="Times New Roman"/>
          </a:endParaRPr>
        </a:p>
        <a:p>
          <a:endParaRPr lang="fr-FR" sz="1100" b="0" strike="noStrike" spc="-1">
            <a:latin typeface="Times New Roman"/>
          </a:endParaRPr>
        </a:p>
        <a:p>
          <a:r>
            <a:rPr lang="fr-FR" sz="1200" b="1" strike="noStrike" spc="-1">
              <a:solidFill>
                <a:srgbClr val="000000"/>
              </a:solidFill>
              <a:latin typeface="Calibri"/>
            </a:rPr>
            <a:t>Conditions d'utilisation et de diffusion</a:t>
          </a:r>
          <a:endParaRPr lang="fr-FR" sz="1200" b="0" strike="noStrike" spc="-1">
            <a:latin typeface="Times New Roman"/>
          </a:endParaRPr>
        </a:p>
        <a:p>
          <a:r>
            <a:rPr lang="fr-FR" sz="1100" b="0" strike="noStrike" spc="-1">
              <a:solidFill>
                <a:srgbClr val="000000"/>
              </a:solidFill>
              <a:latin typeface="Calibri"/>
            </a:rPr>
            <a:t>Il est utilisable par toute personne ou organisation qui le souhaite, dans les </a:t>
          </a:r>
          <a:r>
            <a:rPr lang="fr-FR" sz="1100" b="1" strike="noStrike" spc="-1">
              <a:solidFill>
                <a:srgbClr val="000000"/>
              </a:solidFill>
              <a:latin typeface="Calibri"/>
            </a:rPr>
            <a:t>conditions de Licence libre </a:t>
          </a:r>
          <a:r>
            <a:rPr lang="fr-FR" sz="1100" b="1" i="1" strike="noStrike" spc="-1">
              <a:solidFill>
                <a:srgbClr val="000000"/>
              </a:solidFill>
              <a:latin typeface="Calibri"/>
            </a:rPr>
            <a:t>Creative commons </a:t>
          </a:r>
          <a:r>
            <a:rPr lang="fr-FR" sz="1100" b="1" strike="noStrike" spc="-1">
              <a:solidFill>
                <a:srgbClr val="000000"/>
              </a:solidFill>
              <a:latin typeface="Calibri"/>
            </a:rPr>
            <a:t>suivantes </a:t>
          </a:r>
          <a:r>
            <a:rPr lang="fr-FR" sz="1100" b="0" strike="noStrike" spc="-1">
              <a:solidFill>
                <a:srgbClr val="000000"/>
              </a:solidFill>
              <a:latin typeface="Calibri"/>
            </a:rPr>
            <a:t>: paternité (pas d'usage sans citer explicitement les auteurs ALE 37,Gefosat  et Fondation Abbé Pierre), pas d'utilisation commerciale, partage des conditions initiales à l'identique. Les retours de bug ou suggestions sont acceptés, mais aucune garantie de maintenance n'est donnée (indiquer "outil de simulation" dans l'objet de vos messages adressés à JCOURBIN@fondation-abbe-pierre.fr).</a:t>
          </a:r>
          <a:endParaRPr lang="fr-FR" sz="1100" b="0" strike="noStrike" spc="-1">
            <a:latin typeface="Times New Roman"/>
          </a:endParaRPr>
        </a:p>
      </xdr:txBody>
    </xdr:sp>
    <xdr:clientData/>
  </xdr:twoCellAnchor>
  <xdr:twoCellAnchor editAs="oneCell">
    <xdr:from>
      <xdr:col>4</xdr:col>
      <xdr:colOff>412920</xdr:colOff>
      <xdr:row>29</xdr:row>
      <xdr:rowOff>243360</xdr:rowOff>
    </xdr:from>
    <xdr:to>
      <xdr:col>7</xdr:col>
      <xdr:colOff>574920</xdr:colOff>
      <xdr:row>31</xdr:row>
      <xdr:rowOff>131190</xdr:rowOff>
    </xdr:to>
    <xdr:pic>
      <xdr:nvPicPr>
        <xdr:cNvPr id="3" name="Image 15">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3598080" y="7269000"/>
          <a:ext cx="1906980" cy="478380"/>
        </a:xfrm>
        <a:prstGeom prst="rect">
          <a:avLst/>
        </a:prstGeom>
        <a:ln>
          <a:noFill/>
        </a:ln>
      </xdr:spPr>
    </xdr:pic>
    <xdr:clientData/>
  </xdr:twoCellAnchor>
  <xdr:twoCellAnchor editAs="oneCell">
    <xdr:from>
      <xdr:col>6</xdr:col>
      <xdr:colOff>121920</xdr:colOff>
      <xdr:row>25</xdr:row>
      <xdr:rowOff>304800</xdr:rowOff>
    </xdr:from>
    <xdr:to>
      <xdr:col>14</xdr:col>
      <xdr:colOff>231086</xdr:colOff>
      <xdr:row>26</xdr:row>
      <xdr:rowOff>377771</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4775200" y="5212080"/>
          <a:ext cx="5514286" cy="428571"/>
        </a:xfrm>
        <a:prstGeom prst="rect">
          <a:avLst/>
        </a:prstGeom>
      </xdr:spPr>
    </xdr:pic>
    <xdr:clientData/>
  </xdr:twoCellAnchor>
  <xdr:twoCellAnchor editAs="oneCell">
    <xdr:from>
      <xdr:col>6</xdr:col>
      <xdr:colOff>152400</xdr:colOff>
      <xdr:row>26</xdr:row>
      <xdr:rowOff>345440</xdr:rowOff>
    </xdr:from>
    <xdr:to>
      <xdr:col>14</xdr:col>
      <xdr:colOff>212040</xdr:colOff>
      <xdr:row>26</xdr:row>
      <xdr:rowOff>779725</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4805680" y="5252720"/>
          <a:ext cx="5476190" cy="438095"/>
        </a:xfrm>
        <a:prstGeom prst="rect">
          <a:avLst/>
        </a:prstGeom>
      </xdr:spPr>
    </xdr:pic>
    <xdr:clientData/>
  </xdr:twoCellAnchor>
  <xdr:twoCellAnchor editAs="oneCell">
    <xdr:from>
      <xdr:col>4</xdr:col>
      <xdr:colOff>182880</xdr:colOff>
      <xdr:row>28</xdr:row>
      <xdr:rowOff>467360</xdr:rowOff>
    </xdr:from>
    <xdr:to>
      <xdr:col>9</xdr:col>
      <xdr:colOff>301256</xdr:colOff>
      <xdr:row>28</xdr:row>
      <xdr:rowOff>742025</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a:stretch>
          <a:fillRect/>
        </a:stretch>
      </xdr:blipFill>
      <xdr:spPr>
        <a:xfrm>
          <a:off x="3373120" y="6725920"/>
          <a:ext cx="3328936"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714240</xdr:colOff>
      <xdr:row>10</xdr:row>
      <xdr:rowOff>38161</xdr:rowOff>
    </xdr:from>
    <xdr:to>
      <xdr:col>20</xdr:col>
      <xdr:colOff>631012</xdr:colOff>
      <xdr:row>17</xdr:row>
      <xdr:rowOff>32658</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9183326" y="3848161"/>
          <a:ext cx="6143400" cy="2334926"/>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lstStyle/>
        <a:p>
          <a:r>
            <a:rPr lang="fr-FR" sz="1100" b="1" strike="noStrike" spc="-1">
              <a:solidFill>
                <a:srgbClr val="000000"/>
              </a:solidFill>
              <a:latin typeface="Calibri"/>
            </a:rPr>
            <a:t>(1) Chèque Energie</a:t>
          </a:r>
          <a:r>
            <a:rPr lang="fr-FR" sz="1100" b="0" strike="noStrike" spc="-1">
              <a:solidFill>
                <a:srgbClr val="000000"/>
              </a:solidFill>
              <a:latin typeface="Calibri"/>
            </a:rPr>
            <a:t>: </a:t>
          </a:r>
          <a:r>
            <a:rPr lang="fr-FR" sz="1000" b="0" strike="noStrike" spc="-1">
              <a:solidFill>
                <a:srgbClr val="000000"/>
              </a:solidFill>
              <a:latin typeface="Calibri"/>
            </a:rPr>
            <a:t>Dispositif d’aide au paiement des dépenses d’énergie qui s’est substitué aux tarifs sociaux de l’énergie (tarif de première nécessité pour l’électricité et tarif spécial de solidarité pour le gaz naturel). Il est attribué sur la base d’un critère fiscal unique, en tenant compte du revenu fiscal de référence du ménage.</a:t>
          </a:r>
          <a:br/>
          <a:r>
            <a:rPr lang="fr-FR" sz="1000" b="0" strike="noStrike" spc="-1">
              <a:solidFill>
                <a:srgbClr val="000000"/>
              </a:solidFill>
              <a:latin typeface="Calibri"/>
            </a:rPr>
            <a:t>Il permet aux ménages bénéficiaires de régler des factures d’énergie (électricité, gaz, fioul, bois…) ou de financer une partie des travaux d’économies d’énergie qu’ils engagent dans leur logement.</a:t>
          </a:r>
          <a:endParaRPr lang="fr-FR" sz="1000" b="0" strike="noStrike" spc="-1">
            <a:latin typeface="Times New Roman"/>
          </a:endParaRPr>
        </a:p>
        <a:p>
          <a:endParaRPr lang="fr-FR" sz="1000" b="0" strike="noStrike" spc="-1">
            <a:latin typeface="Times New Roman"/>
          </a:endParaRPr>
        </a:p>
        <a:p>
          <a:r>
            <a:rPr lang="fr-FR" sz="1100" b="1" strike="noStrike" spc="-1">
              <a:solidFill>
                <a:srgbClr val="000000"/>
              </a:solidFill>
              <a:latin typeface="Calibri"/>
            </a:rPr>
            <a:t>(2) Unité de Consommation  </a:t>
          </a:r>
          <a:r>
            <a:rPr lang="fr-FR" sz="1100" b="0" strike="noStrike" spc="-1">
              <a:solidFill>
                <a:srgbClr val="000000"/>
              </a:solidFill>
              <a:latin typeface="Calibri"/>
            </a:rPr>
            <a:t>= </a:t>
          </a:r>
          <a:r>
            <a:rPr lang="fr-FR" sz="1000" b="0" strike="noStrike" spc="-1">
              <a:solidFill>
                <a:srgbClr val="000000"/>
              </a:solidFill>
              <a:latin typeface="Calibri"/>
            </a:rPr>
            <a:t>Pondération  des ressources ou des dépenses des ménages sur la base suivante : </a:t>
          </a:r>
          <a:endParaRPr lang="fr-FR" sz="1000" b="0" strike="noStrike" spc="-1">
            <a:latin typeface="Times New Roman"/>
          </a:endParaRPr>
        </a:p>
        <a:p>
          <a:r>
            <a:rPr lang="fr-FR" sz="1000" b="0" strike="noStrike" spc="-1">
              <a:solidFill>
                <a:srgbClr val="000000"/>
              </a:solidFill>
              <a:latin typeface="Calibri"/>
            </a:rPr>
            <a:t>UC = 1 pour la première personne du ménage</a:t>
          </a:r>
          <a:endParaRPr lang="fr-FR" sz="1000" b="0" strike="noStrike" spc="-1">
            <a:latin typeface="Times New Roman"/>
          </a:endParaRPr>
        </a:p>
        <a:p>
          <a:r>
            <a:rPr lang="fr-FR" sz="1000" b="0" strike="noStrike" spc="-1">
              <a:solidFill>
                <a:srgbClr val="000000"/>
              </a:solidFill>
              <a:latin typeface="Calibri"/>
            </a:rPr>
            <a:t>UC=0,5 pour toute autre personne de 14 ans et plus</a:t>
          </a:r>
          <a:endParaRPr lang="fr-FR" sz="1000" b="0" strike="noStrike" spc="-1">
            <a:latin typeface="Times New Roman"/>
          </a:endParaRPr>
        </a:p>
        <a:p>
          <a:r>
            <a:rPr lang="fr-FR" sz="1000" b="0" strike="noStrike" spc="-1">
              <a:solidFill>
                <a:srgbClr val="000000"/>
              </a:solidFill>
              <a:latin typeface="Calibri"/>
            </a:rPr>
            <a:t>UC=0,3 pour toute autre personne de moins de 14 ans.</a:t>
          </a:r>
          <a:endParaRPr lang="fr-FR" sz="1000" b="0" strike="noStrike" spc="-1">
            <a:latin typeface="Times New Roman"/>
          </a:endParaRPr>
        </a:p>
        <a:p>
          <a:r>
            <a:rPr lang="fr-FR" sz="1000" b="0" strike="noStrike" spc="-1">
              <a:solidFill>
                <a:srgbClr val="000000"/>
              </a:solidFill>
              <a:latin typeface="Calibri"/>
            </a:rPr>
            <a:t>Exemple : </a:t>
          </a:r>
          <a:endParaRPr lang="fr-FR" sz="1000" b="0" strike="noStrike" spc="-1">
            <a:latin typeface="Times New Roman"/>
          </a:endParaRPr>
        </a:p>
        <a:p>
          <a:r>
            <a:rPr lang="fr-FR" sz="1000" b="0" strike="noStrike" spc="-1">
              <a:solidFill>
                <a:srgbClr val="000000"/>
              </a:solidFill>
              <a:latin typeface="Calibri"/>
            </a:rPr>
            <a:t>1 couple avec 1 enfant de 12 ans = 1 + 0,5 + 0,3 = 1,8 UC</a:t>
          </a:r>
          <a:endParaRPr lang="fr-FR" sz="1000" b="0" strike="noStrike" spc="-1">
            <a:latin typeface="Times New Roman"/>
          </a:endParaRPr>
        </a:p>
        <a:p>
          <a:r>
            <a:rPr lang="fr-FR" sz="1000" b="0" strike="noStrike" spc="-1">
              <a:solidFill>
                <a:srgbClr val="000000"/>
              </a:solidFill>
              <a:latin typeface="Calibri"/>
            </a:rPr>
            <a:t>Référence :  le seuil de pauvreté en France est aujourd'hui de 1 015 € pour une personne seule..</a:t>
          </a:r>
          <a:endParaRPr lang="fr-FR" sz="1000" b="0" strike="noStrike" spc="-1">
            <a:latin typeface="Times New Roman"/>
          </a:endParaRPr>
        </a:p>
      </xdr:txBody>
    </xdr:sp>
    <xdr:clientData/>
  </xdr:twoCellAnchor>
  <xdr:twoCellAnchor editAs="oneCell">
    <xdr:from>
      <xdr:col>0</xdr:col>
      <xdr:colOff>0</xdr:colOff>
      <xdr:row>20</xdr:row>
      <xdr:rowOff>0</xdr:rowOff>
    </xdr:from>
    <xdr:to>
      <xdr:col>5</xdr:col>
      <xdr:colOff>495120</xdr:colOff>
      <xdr:row>28</xdr:row>
      <xdr:rowOff>78839</xdr:rowOff>
    </xdr:to>
    <xdr:sp macro="" textlink="">
      <xdr:nvSpPr>
        <xdr:cNvPr id="3" name="CustomShape 1">
          <a:extLst>
            <a:ext uri="{FF2B5EF4-FFF2-40B4-BE49-F238E27FC236}">
              <a16:creationId xmlns:a16="http://schemas.microsoft.com/office/drawing/2014/main" id="{00000000-0008-0000-0200-000003000000}"/>
            </a:ext>
          </a:extLst>
        </xdr:cNvPr>
        <xdr:cNvSpPr/>
      </xdr:nvSpPr>
      <xdr:spPr>
        <a:xfrm>
          <a:off x="0" y="6267240"/>
          <a:ext cx="4269960" cy="160272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lstStyle/>
        <a:p>
          <a:r>
            <a:rPr lang="fr-FR" sz="1200" b="1" u="sng" strike="noStrike" spc="-1">
              <a:solidFill>
                <a:srgbClr val="000000"/>
              </a:solidFill>
              <a:uFillTx/>
              <a:latin typeface="Calibri"/>
            </a:rPr>
            <a:t>Outil conçu et réalisé par :</a:t>
          </a:r>
          <a:endParaRPr lang="fr-FR" sz="1200" b="0" strike="noStrike" spc="-1">
            <a:latin typeface="Times New Roman"/>
          </a:endParaRPr>
        </a:p>
      </xdr:txBody>
    </xdr:sp>
    <xdr:clientData/>
  </xdr:twoCellAnchor>
  <xdr:twoCellAnchor editAs="oneCell">
    <xdr:from>
      <xdr:col>0</xdr:col>
      <xdr:colOff>95400</xdr:colOff>
      <xdr:row>21</xdr:row>
      <xdr:rowOff>111240</xdr:rowOff>
    </xdr:from>
    <xdr:to>
      <xdr:col>1</xdr:col>
      <xdr:colOff>303480</xdr:colOff>
      <xdr:row>28</xdr:row>
      <xdr:rowOff>37440</xdr:rowOff>
    </xdr:to>
    <xdr:pic>
      <xdr:nvPicPr>
        <xdr:cNvPr id="4" name="Image 6">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xdr:blipFill>
      <xdr:spPr>
        <a:xfrm>
          <a:off x="95400" y="6568920"/>
          <a:ext cx="1074600" cy="1259640"/>
        </a:xfrm>
        <a:prstGeom prst="rect">
          <a:avLst/>
        </a:prstGeom>
        <a:ln>
          <a:noFill/>
        </a:ln>
      </xdr:spPr>
    </xdr:pic>
    <xdr:clientData/>
  </xdr:twoCellAnchor>
  <xdr:twoCellAnchor editAs="oneCell">
    <xdr:from>
      <xdr:col>1</xdr:col>
      <xdr:colOff>400680</xdr:colOff>
      <xdr:row>23</xdr:row>
      <xdr:rowOff>47520</xdr:rowOff>
    </xdr:from>
    <xdr:to>
      <xdr:col>4</xdr:col>
      <xdr:colOff>174960</xdr:colOff>
      <xdr:row>28</xdr:row>
      <xdr:rowOff>30600</xdr:rowOff>
    </xdr:to>
    <xdr:pic>
      <xdr:nvPicPr>
        <xdr:cNvPr id="5" name="Image 7">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1267200" y="6886440"/>
          <a:ext cx="1840680" cy="935280"/>
        </a:xfrm>
        <a:prstGeom prst="rect">
          <a:avLst/>
        </a:prstGeom>
        <a:ln>
          <a:noFill/>
        </a:ln>
      </xdr:spPr>
    </xdr:pic>
    <xdr:clientData/>
  </xdr:twoCellAnchor>
  <xdr:twoCellAnchor editAs="oneCell">
    <xdr:from>
      <xdr:col>4</xdr:col>
      <xdr:colOff>240840</xdr:colOff>
      <xdr:row>22</xdr:row>
      <xdr:rowOff>140760</xdr:rowOff>
    </xdr:from>
    <xdr:to>
      <xdr:col>5</xdr:col>
      <xdr:colOff>469920</xdr:colOff>
      <xdr:row>28</xdr:row>
      <xdr:rowOff>41400</xdr:rowOff>
    </xdr:to>
    <xdr:pic>
      <xdr:nvPicPr>
        <xdr:cNvPr id="6" name="Image 8">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a:stretch/>
      </xdr:blipFill>
      <xdr:spPr>
        <a:xfrm>
          <a:off x="3173760" y="6788880"/>
          <a:ext cx="1071000" cy="104364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apdom-my.sharepoint.com/A2%20Formation%20Education%20Interventions/TH%20377%20FAP%20-%20Toits%20d'abord/Moulinette%20FAP/1.Moulinette%20r&#233;novation/Simulateur%20COUT%20USAGE%20-%20R&#233;novation%20V280122modifi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Saisie maison"/>
      <sheetName val="Résultat maison"/>
      <sheetName val="élts calculs lgt ind"/>
      <sheetName val="Saisie immeuble"/>
      <sheetName val="Résultat immeuble"/>
      <sheetName val="Feuil1"/>
      <sheetName val="Cheque Energie"/>
      <sheetName val="Ressources"/>
      <sheetName val="Référence&amp;tarifs"/>
      <sheetName val="FAQ Excel"/>
    </sheetNames>
    <sheetDataSet>
      <sheetData sheetId="0"/>
      <sheetData sheetId="1"/>
      <sheetData sheetId="2"/>
      <sheetData sheetId="3">
        <row r="6">
          <cell r="A6" t="str">
            <v>Abbeville</v>
          </cell>
        </row>
        <row r="7">
          <cell r="A7" t="str">
            <v>Agen</v>
          </cell>
        </row>
        <row r="8">
          <cell r="A8" t="str">
            <v>Alençon</v>
          </cell>
        </row>
        <row r="9">
          <cell r="A9" t="str">
            <v>Ambérieu</v>
          </cell>
        </row>
        <row r="10">
          <cell r="A10" t="str">
            <v>Angers</v>
          </cell>
        </row>
        <row r="11">
          <cell r="A11" t="str">
            <v>Auxerre</v>
          </cell>
        </row>
        <row r="12">
          <cell r="A12" t="str">
            <v>Beauvais</v>
          </cell>
        </row>
        <row r="13">
          <cell r="A13" t="str">
            <v>Besançon</v>
          </cell>
        </row>
        <row r="14">
          <cell r="A14" t="str">
            <v>Biarritz</v>
          </cell>
        </row>
        <row r="15">
          <cell r="A15" t="str">
            <v>Bordeaux</v>
          </cell>
        </row>
        <row r="16">
          <cell r="A16" t="str">
            <v>Bourges</v>
          </cell>
        </row>
        <row r="17">
          <cell r="A17" t="str">
            <v>Brest</v>
          </cell>
        </row>
        <row r="18">
          <cell r="A18" t="str">
            <v>Caen</v>
          </cell>
        </row>
        <row r="19">
          <cell r="A19" t="str">
            <v xml:space="preserve">Chartres </v>
          </cell>
        </row>
        <row r="20">
          <cell r="A20" t="str">
            <v>Châteauroux</v>
          </cell>
        </row>
        <row r="21">
          <cell r="A21" t="str">
            <v>Clermont ferrand</v>
          </cell>
          <cell r="AX21" t="str">
            <v>ballon thermodynamique</v>
          </cell>
        </row>
        <row r="22">
          <cell r="A22" t="str">
            <v>Cognac</v>
          </cell>
          <cell r="AX22" t="str">
            <v>CESI + bois</v>
          </cell>
        </row>
        <row r="23">
          <cell r="A23" t="str">
            <v>Dax</v>
          </cell>
          <cell r="AC23" t="str">
            <v>intérieur</v>
          </cell>
          <cell r="AX23" t="str">
            <v>CESI + elec</v>
          </cell>
        </row>
        <row r="24">
          <cell r="A24" t="str">
            <v>Dijon</v>
          </cell>
          <cell r="AC24" t="str">
            <v>extérieur</v>
          </cell>
          <cell r="AX24" t="str">
            <v>CESI + fioul</v>
          </cell>
        </row>
        <row r="25">
          <cell r="A25" t="str">
            <v>Embrun</v>
          </cell>
          <cell r="AX25" t="str">
            <v>CESI + gaz</v>
          </cell>
        </row>
        <row r="26">
          <cell r="A26" t="str">
            <v>Gourdon</v>
          </cell>
          <cell r="AC26" t="str">
            <v>rénovation RT existante (avant 2018) : 
isolation toiture : ≈15 cm ( R&gt;4)
menuiseries double vitrages (Uw&lt; 2,3)
isolant des murs : ≈9 cm ( R&gt;2 ,3)</v>
          </cell>
          <cell r="AX26" t="str">
            <v>ballon élec + de 15 ans</v>
          </cell>
        </row>
        <row r="27">
          <cell r="A27" t="str">
            <v>Grenoble</v>
          </cell>
          <cell r="AC27" t="str">
            <v>rénovation performante : 
isolation toiture : ≈30 cm ( R&gt;7)
menuiseries double vitrages argon + traitement (Uw&lt; 1,3)
isolant des murs : ≈14 cm ( R&gt;3,7 )</v>
          </cell>
          <cell r="AX27" t="str">
            <v>ballon élec de 5 à 15 ans</v>
          </cell>
        </row>
        <row r="28">
          <cell r="A28" t="str">
            <v>La Rochelle</v>
          </cell>
          <cell r="AX28" t="str">
            <v>ballon élec - de 5 ans</v>
          </cell>
        </row>
        <row r="29">
          <cell r="A29" t="str">
            <v>Langres</v>
          </cell>
          <cell r="AC29" t="str">
            <v>individuel</v>
          </cell>
          <cell r="AX29" t="str">
            <v>fioul</v>
          </cell>
        </row>
        <row r="30">
          <cell r="A30" t="str">
            <v>Le Mans</v>
          </cell>
          <cell r="AC30" t="str">
            <v>collectif</v>
          </cell>
          <cell r="AX30" t="str">
            <v>gaz naturel</v>
          </cell>
        </row>
        <row r="31">
          <cell r="A31" t="str">
            <v>Lille</v>
          </cell>
          <cell r="AX31" t="str">
            <v>solaire collectif + bois</v>
          </cell>
        </row>
        <row r="32">
          <cell r="A32" t="str">
            <v>Limoges</v>
          </cell>
          <cell r="AC32" t="str">
            <v>indépendante</v>
          </cell>
          <cell r="AX32" t="str">
            <v>solaire collectif + elec</v>
          </cell>
        </row>
        <row r="33">
          <cell r="A33" t="str">
            <v>Lorient</v>
          </cell>
          <cell r="AC33" t="str">
            <v>1 coté</v>
          </cell>
          <cell r="AX33" t="str">
            <v>solaire collectif + fioul</v>
          </cell>
        </row>
        <row r="34">
          <cell r="A34" t="str">
            <v>Luxeuil</v>
          </cell>
          <cell r="AC34" t="str">
            <v>2 cotés</v>
          </cell>
          <cell r="AX34" t="str">
            <v>solaire collectif + gaz</v>
          </cell>
        </row>
        <row r="35">
          <cell r="A35" t="str">
            <v>Lyon</v>
          </cell>
        </row>
        <row r="36">
          <cell r="A36" t="str">
            <v>Mâcon</v>
          </cell>
        </row>
        <row r="37">
          <cell r="A37" t="str">
            <v>Marseille</v>
          </cell>
        </row>
        <row r="38">
          <cell r="A38" t="str">
            <v>Metz</v>
          </cell>
        </row>
        <row r="39">
          <cell r="A39" t="str">
            <v>Millau</v>
          </cell>
        </row>
        <row r="40">
          <cell r="A40" t="str">
            <v>Mont de Marsan</v>
          </cell>
          <cell r="AC40" t="str">
            <v>gaz de ville</v>
          </cell>
        </row>
        <row r="41">
          <cell r="A41" t="str">
            <v>Montélimar</v>
          </cell>
          <cell r="AC41" t="str">
            <v>gaz bouteille</v>
          </cell>
        </row>
        <row r="42">
          <cell r="A42" t="str">
            <v>Montpellier</v>
          </cell>
          <cell r="AC42" t="str">
            <v>électricité</v>
          </cell>
        </row>
        <row r="43">
          <cell r="A43" t="str">
            <v>Mulhouse</v>
          </cell>
        </row>
        <row r="44">
          <cell r="A44" t="str">
            <v>Nancy</v>
          </cell>
        </row>
        <row r="45">
          <cell r="A45" t="str">
            <v>Nantes</v>
          </cell>
        </row>
        <row r="46">
          <cell r="A46" t="str">
            <v>Nevers</v>
          </cell>
        </row>
        <row r="47">
          <cell r="A47" t="str">
            <v>Nice</v>
          </cell>
        </row>
        <row r="48">
          <cell r="A48" t="str">
            <v>Nimes</v>
          </cell>
        </row>
        <row r="49">
          <cell r="A49" t="str">
            <v>Orange</v>
          </cell>
        </row>
        <row r="50">
          <cell r="A50" t="str">
            <v>Orléans</v>
          </cell>
        </row>
        <row r="51">
          <cell r="A51" t="str">
            <v>Paris</v>
          </cell>
        </row>
        <row r="52">
          <cell r="A52" t="str">
            <v>Pau</v>
          </cell>
        </row>
        <row r="53">
          <cell r="A53" t="str">
            <v>Perpignan</v>
          </cell>
        </row>
        <row r="54">
          <cell r="A54" t="str">
            <v>Poitiers</v>
          </cell>
        </row>
        <row r="55">
          <cell r="A55" t="str">
            <v>Reims</v>
          </cell>
        </row>
        <row r="56">
          <cell r="A56" t="str">
            <v>Rennes</v>
          </cell>
        </row>
        <row r="57">
          <cell r="A57" t="str">
            <v>Rouen</v>
          </cell>
        </row>
        <row r="58">
          <cell r="A58" t="str">
            <v>Saint Girons</v>
          </cell>
        </row>
        <row r="59">
          <cell r="A59" t="str">
            <v>Saint-Dizier</v>
          </cell>
        </row>
        <row r="60">
          <cell r="A60" t="str">
            <v>Saint-Etienne</v>
          </cell>
        </row>
        <row r="61">
          <cell r="A61" t="str">
            <v>Saint-Quentin</v>
          </cell>
        </row>
        <row r="62">
          <cell r="A62" t="str">
            <v>Strasbourg</v>
          </cell>
        </row>
        <row r="63">
          <cell r="A63" t="str">
            <v>Tarbes</v>
          </cell>
        </row>
        <row r="64">
          <cell r="A64" t="str">
            <v>Toulon</v>
          </cell>
        </row>
        <row r="65">
          <cell r="A65" t="str">
            <v>Toulouse</v>
          </cell>
        </row>
        <row r="66">
          <cell r="A66" t="str">
            <v>Tours</v>
          </cell>
        </row>
        <row r="67">
          <cell r="A67" t="str">
            <v>Trappes</v>
          </cell>
        </row>
      </sheetData>
      <sheetData sheetId="4"/>
      <sheetData sheetId="5"/>
      <sheetData sheetId="6">
        <row r="5">
          <cell r="C5" t="str">
            <v>&lt;1975</v>
          </cell>
        </row>
        <row r="6">
          <cell r="C6" t="str">
            <v>≥1975</v>
          </cell>
        </row>
        <row r="71">
          <cell r="B71" t="str">
            <v>gaz de ville</v>
          </cell>
        </row>
        <row r="72">
          <cell r="B72" t="str">
            <v>électricité</v>
          </cell>
        </row>
        <row r="73">
          <cell r="D73" t="str">
            <v>rez de chaussée</v>
          </cell>
        </row>
        <row r="74">
          <cell r="D74" t="str">
            <v>intermédiaire</v>
          </cell>
        </row>
        <row r="75">
          <cell r="B75" t="str">
            <v>oui</v>
          </cell>
          <cell r="D75" t="str">
            <v>dernier étage</v>
          </cell>
        </row>
        <row r="76">
          <cell r="B76" t="str">
            <v>non</v>
          </cell>
        </row>
      </sheetData>
      <sheetData sheetId="7">
        <row r="6">
          <cell r="B6" t="str">
            <v>RFR 2019 par UC &lt; à :</v>
          </cell>
        </row>
      </sheetData>
      <sheetData sheetId="8">
        <row r="12">
          <cell r="F12">
            <v>131.55000000000001</v>
          </cell>
        </row>
      </sheetData>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ide-sociale.fr/rsa-socle-dossier-calcul/" TargetMode="External"/><Relationship Id="rId7" Type="http://schemas.openxmlformats.org/officeDocument/2006/relationships/drawing" Target="../drawings/drawing1.xml"/><Relationship Id="rId2" Type="http://schemas.openxmlformats.org/officeDocument/2006/relationships/hyperlink" Target="https://www.service-public.fr/particuliers/vosdroits/F12242" TargetMode="External"/><Relationship Id="rId1" Type="http://schemas.openxmlformats.org/officeDocument/2006/relationships/hyperlink" Target="https://www.energie-info.fr/fiche_pratique/le-cheque-energie/" TargetMode="External"/><Relationship Id="rId6" Type="http://schemas.openxmlformats.org/officeDocument/2006/relationships/hyperlink" Target="https://www.service-public.fr/particuliers/vosdroits/F13213" TargetMode="External"/><Relationship Id="rId5" Type="http://schemas.openxmlformats.org/officeDocument/2006/relationships/hyperlink" Target="https://www.aide-sociale.fr/rsa-socle-dossier-calcul/" TargetMode="External"/><Relationship Id="rId4" Type="http://schemas.openxmlformats.org/officeDocument/2006/relationships/hyperlink" Target="https://www.service-public.fr/particuliers/vosdroits/F1687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energie-info.fr/fiche_pratique/le-cheque-energi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service-public.fr/particuliers/vosdroits/F16871" TargetMode="External"/><Relationship Id="rId2" Type="http://schemas.openxmlformats.org/officeDocument/2006/relationships/hyperlink" Target="https://www.service-public.fr/particuliers/vosdroits/F13213" TargetMode="External"/><Relationship Id="rId1" Type="http://schemas.openxmlformats.org/officeDocument/2006/relationships/hyperlink" Target="https://www.aide-sociale.fr/rsa-socle-dossier-calcul/" TargetMode="External"/><Relationship Id="rId4" Type="http://schemas.openxmlformats.org/officeDocument/2006/relationships/hyperlink" Target="https://www.service-public.fr/particuliers/vosdroits/F12242"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fournisseur-energie.com/engie/abonnement/gaz/" TargetMode="External"/><Relationship Id="rId2" Type="http://schemas.openxmlformats.org/officeDocument/2006/relationships/hyperlink" Target="https://www.fournisseurs-electricite.com/engie/tarifs/tarif-reglemente-gaz" TargetMode="External"/><Relationship Id="rId1" Type="http://schemas.openxmlformats.org/officeDocument/2006/relationships/hyperlink" Target="https://www.fournisseurs-electricite.com/edf/tarifs/bleu-reglemente" TargetMode="External"/><Relationship Id="rId4" Type="http://schemas.openxmlformats.org/officeDocument/2006/relationships/hyperlink" Target="https://www.ajena.org/ressources/argus-energie.ht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commentcamarche.net/forum/affich-2886210-excel-ne-pas-afficher-valeur" TargetMode="External"/><Relationship Id="rId1" Type="http://schemas.openxmlformats.org/officeDocument/2006/relationships/hyperlink" Target="https://apprendreexcel.com/excel-message-erreur-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58"/>
  <sheetViews>
    <sheetView showGridLines="0" tabSelected="1" topLeftCell="A25" zoomScale="75" zoomScaleNormal="75" workbookViewId="0">
      <selection activeCell="V41" sqref="V41"/>
    </sheetView>
  </sheetViews>
  <sheetFormatPr baseColWidth="10" defaultColWidth="9.140625" defaultRowHeight="15" x14ac:dyDescent="0.25"/>
  <cols>
    <col min="1" max="1" width="14.42578125" customWidth="1"/>
    <col min="2" max="6" width="10.7109375" customWidth="1"/>
    <col min="7" max="7" width="4.140625" customWidth="1"/>
    <col min="8" max="1025" width="10.7109375" customWidth="1"/>
  </cols>
  <sheetData>
    <row r="2" spans="1:18" ht="15" customHeight="1" x14ac:dyDescent="0.25">
      <c r="D2" s="148" t="s">
        <v>428</v>
      </c>
      <c r="E2" s="148"/>
      <c r="F2" s="148"/>
      <c r="G2" s="148"/>
      <c r="H2" s="148"/>
      <c r="I2" s="148"/>
      <c r="J2" s="148"/>
      <c r="K2" s="148"/>
      <c r="L2" s="148"/>
      <c r="M2" s="148"/>
    </row>
    <row r="3" spans="1:18" ht="15" customHeight="1" x14ac:dyDescent="0.25">
      <c r="D3" s="148"/>
      <c r="E3" s="148"/>
      <c r="F3" s="148"/>
      <c r="G3" s="148"/>
      <c r="H3" s="148"/>
      <c r="I3" s="148"/>
      <c r="J3" s="148"/>
      <c r="K3" s="148"/>
      <c r="L3" s="148"/>
      <c r="M3" s="148"/>
    </row>
    <row r="7" spans="1:18" x14ac:dyDescent="0.25">
      <c r="A7" s="149"/>
      <c r="B7" s="149"/>
      <c r="C7" s="149"/>
      <c r="D7" s="149"/>
      <c r="E7" s="149"/>
      <c r="F7" s="149"/>
      <c r="G7" s="149"/>
      <c r="H7" s="149"/>
      <c r="I7" s="149"/>
      <c r="J7" s="149"/>
      <c r="K7" s="149"/>
      <c r="L7" s="149"/>
      <c r="M7" s="149"/>
      <c r="N7" s="149"/>
      <c r="O7" s="149"/>
      <c r="P7" s="149"/>
      <c r="Q7" s="149"/>
      <c r="R7" s="149"/>
    </row>
    <row r="8" spans="1:18" x14ac:dyDescent="0.25">
      <c r="A8" s="149"/>
      <c r="B8" s="149"/>
      <c r="C8" s="149"/>
      <c r="D8" s="149"/>
      <c r="E8" s="149"/>
      <c r="F8" s="149"/>
      <c r="G8" s="149"/>
      <c r="H8" s="149"/>
      <c r="I8" s="149"/>
      <c r="J8" s="149"/>
      <c r="K8" s="149"/>
      <c r="L8" s="149"/>
      <c r="M8" s="149"/>
      <c r="N8" s="149"/>
      <c r="O8" s="149"/>
      <c r="P8" s="149"/>
      <c r="Q8" s="149"/>
      <c r="R8" s="149"/>
    </row>
    <row r="9" spans="1:18" x14ac:dyDescent="0.25">
      <c r="A9" s="149"/>
      <c r="B9" s="149"/>
      <c r="C9" s="149"/>
      <c r="D9" s="149"/>
      <c r="E9" s="149"/>
      <c r="F9" s="149"/>
      <c r="G9" s="149"/>
      <c r="H9" s="149"/>
      <c r="I9" s="149"/>
      <c r="J9" s="149"/>
      <c r="K9" s="149"/>
      <c r="L9" s="149"/>
      <c r="M9" s="149"/>
      <c r="N9" s="149"/>
      <c r="O9" s="149"/>
      <c r="P9" s="149"/>
      <c r="Q9" s="149"/>
      <c r="R9" s="149"/>
    </row>
    <row r="10" spans="1:18" x14ac:dyDescent="0.25">
      <c r="A10" s="149"/>
      <c r="B10" s="149"/>
      <c r="C10" s="149"/>
      <c r="D10" s="149"/>
      <c r="E10" s="149"/>
      <c r="F10" s="149"/>
      <c r="G10" s="149"/>
      <c r="H10" s="149"/>
      <c r="I10" s="149"/>
      <c r="J10" s="149"/>
      <c r="K10" s="149"/>
      <c r="L10" s="149"/>
      <c r="M10" s="149"/>
      <c r="N10" s="149"/>
      <c r="O10" s="149"/>
      <c r="P10" s="149"/>
      <c r="Q10" s="149"/>
      <c r="R10" s="149"/>
    </row>
    <row r="11" spans="1:18" x14ac:dyDescent="0.25">
      <c r="A11" s="149"/>
      <c r="B11" s="149"/>
      <c r="C11" s="149"/>
      <c r="D11" s="149"/>
      <c r="E11" s="149"/>
      <c r="F11" s="149"/>
      <c r="G11" s="149"/>
      <c r="H11" s="149"/>
      <c r="I11" s="149"/>
      <c r="J11" s="149"/>
      <c r="K11" s="149"/>
      <c r="L11" s="149"/>
      <c r="M11" s="149"/>
      <c r="N11" s="149"/>
      <c r="O11" s="149"/>
      <c r="P11" s="149"/>
      <c r="Q11" s="149"/>
      <c r="R11" s="149"/>
    </row>
    <row r="12" spans="1:18" x14ac:dyDescent="0.25">
      <c r="A12" s="149"/>
      <c r="B12" s="149"/>
      <c r="C12" s="149"/>
      <c r="D12" s="149"/>
      <c r="E12" s="149"/>
      <c r="F12" s="149"/>
      <c r="G12" s="149"/>
      <c r="H12" s="149"/>
      <c r="I12" s="149"/>
      <c r="J12" s="149"/>
      <c r="K12" s="149"/>
      <c r="L12" s="149"/>
      <c r="M12" s="149"/>
      <c r="N12" s="149"/>
      <c r="O12" s="149"/>
      <c r="P12" s="149"/>
      <c r="Q12" s="149"/>
      <c r="R12" s="149"/>
    </row>
    <row r="13" spans="1:18" x14ac:dyDescent="0.25">
      <c r="A13" s="149"/>
      <c r="B13" s="149"/>
      <c r="C13" s="149"/>
      <c r="D13" s="149"/>
      <c r="E13" s="149"/>
      <c r="F13" s="149"/>
      <c r="G13" s="149"/>
      <c r="H13" s="149"/>
      <c r="I13" s="149"/>
      <c r="J13" s="149"/>
      <c r="K13" s="149"/>
      <c r="L13" s="149"/>
      <c r="M13" s="149"/>
      <c r="N13" s="149"/>
      <c r="O13" s="149"/>
      <c r="P13" s="149"/>
      <c r="Q13" s="149"/>
      <c r="R13" s="149"/>
    </row>
    <row r="14" spans="1:18" x14ac:dyDescent="0.25">
      <c r="A14" s="149"/>
      <c r="B14" s="149"/>
      <c r="C14" s="149"/>
      <c r="D14" s="149"/>
      <c r="E14" s="149"/>
      <c r="F14" s="149"/>
      <c r="G14" s="149"/>
      <c r="H14" s="149"/>
      <c r="I14" s="149"/>
      <c r="J14" s="149"/>
      <c r="K14" s="149"/>
      <c r="L14" s="149"/>
      <c r="M14" s="149"/>
      <c r="N14" s="149"/>
      <c r="O14" s="149"/>
      <c r="P14" s="149"/>
      <c r="Q14" s="149"/>
      <c r="R14" s="149"/>
    </row>
    <row r="19" spans="1:18" ht="18.75" x14ac:dyDescent="0.3">
      <c r="A19" s="136" t="s">
        <v>398</v>
      </c>
    </row>
    <row r="20" spans="1:18" ht="6.75" customHeight="1" x14ac:dyDescent="0.25"/>
    <row r="21" spans="1:18" s="137" customFormat="1" ht="19.149999999999999" customHeight="1" x14ac:dyDescent="0.25">
      <c r="A21" s="150" t="s">
        <v>414</v>
      </c>
      <c r="B21" s="150"/>
      <c r="C21" s="150"/>
      <c r="D21" s="150"/>
      <c r="E21" s="150"/>
      <c r="F21" s="150"/>
      <c r="G21" s="150"/>
      <c r="H21" s="150"/>
      <c r="I21" s="150"/>
      <c r="J21" s="150"/>
      <c r="K21" s="150"/>
      <c r="L21" s="150"/>
      <c r="M21" s="150"/>
      <c r="N21" s="150"/>
      <c r="O21" s="150"/>
      <c r="P21" s="150"/>
      <c r="Q21" s="150"/>
      <c r="R21" s="150"/>
    </row>
    <row r="22" spans="1:18" s="137" customFormat="1" ht="9" customHeight="1" x14ac:dyDescent="0.25"/>
    <row r="23" spans="1:18" s="137" customFormat="1" ht="21.75" customHeight="1" x14ac:dyDescent="0.25">
      <c r="A23" s="138" t="s">
        <v>399</v>
      </c>
    </row>
    <row r="24" spans="1:18" s="137" customFormat="1" ht="32.25" customHeight="1" x14ac:dyDescent="0.25">
      <c r="A24" s="150" t="s">
        <v>400</v>
      </c>
      <c r="B24" s="150"/>
      <c r="C24" s="150"/>
      <c r="D24" s="150"/>
      <c r="E24" s="150"/>
      <c r="F24" s="150"/>
      <c r="G24" s="150"/>
      <c r="H24" s="150"/>
      <c r="I24" s="150"/>
      <c r="J24" s="150"/>
      <c r="K24" s="150"/>
      <c r="L24" s="150"/>
      <c r="M24" s="150"/>
      <c r="N24" s="150"/>
      <c r="O24" s="150"/>
      <c r="P24" s="150"/>
      <c r="Q24" s="150"/>
      <c r="R24" s="150"/>
    </row>
    <row r="25" spans="1:18" s="137" customFormat="1" ht="33.75" customHeight="1" x14ac:dyDescent="0.25">
      <c r="A25" s="150" t="s">
        <v>415</v>
      </c>
      <c r="B25" s="150"/>
      <c r="C25" s="150"/>
      <c r="D25" s="150"/>
      <c r="E25" s="150"/>
      <c r="F25" s="150"/>
      <c r="G25" s="150"/>
      <c r="H25" s="150"/>
      <c r="I25" s="150"/>
      <c r="J25" s="150"/>
      <c r="K25" s="150"/>
      <c r="L25" s="150"/>
      <c r="M25" s="150"/>
      <c r="N25" s="150"/>
      <c r="O25" s="150"/>
      <c r="P25" s="150"/>
      <c r="Q25" s="150"/>
      <c r="R25" s="150"/>
    </row>
    <row r="26" spans="1:18" s="137" customFormat="1" ht="28.15" customHeight="1" x14ac:dyDescent="0.25">
      <c r="A26" s="150" t="s">
        <v>417</v>
      </c>
      <c r="B26" s="150"/>
      <c r="C26" s="150"/>
      <c r="D26" s="150"/>
      <c r="E26" s="150"/>
      <c r="F26" s="150"/>
      <c r="G26" s="150"/>
      <c r="H26" s="150"/>
      <c r="I26" s="150"/>
      <c r="J26" s="150"/>
      <c r="K26" s="150"/>
      <c r="L26" s="150"/>
      <c r="M26" s="150"/>
      <c r="N26" s="150"/>
      <c r="O26" s="150"/>
      <c r="P26" s="150"/>
      <c r="Q26" s="150"/>
      <c r="R26" s="150"/>
    </row>
    <row r="27" spans="1:18" s="137" customFormat="1" ht="63" customHeight="1" x14ac:dyDescent="0.25">
      <c r="A27" s="150" t="s">
        <v>416</v>
      </c>
      <c r="B27" s="150"/>
      <c r="C27" s="150"/>
      <c r="D27" s="150"/>
      <c r="E27" s="150"/>
      <c r="F27" s="150"/>
      <c r="G27" s="150"/>
      <c r="H27" s="150"/>
      <c r="I27" s="150"/>
      <c r="J27" s="150"/>
      <c r="K27" s="150"/>
      <c r="L27" s="150"/>
      <c r="M27" s="150"/>
      <c r="N27" s="150"/>
      <c r="O27" s="150"/>
      <c r="P27" s="150"/>
      <c r="Q27" s="150"/>
      <c r="R27" s="150"/>
    </row>
    <row r="28" spans="1:18" s="137" customFormat="1" ht="15" customHeight="1" x14ac:dyDescent="0.25">
      <c r="A28" s="150" t="s">
        <v>401</v>
      </c>
      <c r="B28" s="150"/>
      <c r="C28" s="150"/>
      <c r="D28" s="150"/>
      <c r="E28" s="150"/>
      <c r="F28" s="150"/>
      <c r="G28" s="150"/>
      <c r="H28" s="150"/>
      <c r="I28" s="150"/>
      <c r="J28" s="150"/>
      <c r="K28" s="150"/>
      <c r="L28" s="150"/>
      <c r="M28" s="150"/>
      <c r="N28" s="150"/>
      <c r="O28" s="150"/>
      <c r="P28" s="150"/>
      <c r="Q28" s="150"/>
      <c r="R28" s="150"/>
    </row>
    <row r="29" spans="1:18" s="137" customFormat="1" ht="68.45" customHeight="1" x14ac:dyDescent="0.25">
      <c r="A29" s="150" t="s">
        <v>418</v>
      </c>
      <c r="B29" s="150"/>
      <c r="C29" s="150"/>
      <c r="D29" s="150"/>
      <c r="E29" s="150"/>
      <c r="F29" s="150"/>
      <c r="G29" s="150"/>
      <c r="H29" s="150"/>
      <c r="I29" s="150"/>
      <c r="J29" s="150"/>
      <c r="K29" s="150"/>
      <c r="L29" s="150"/>
      <c r="M29" s="150"/>
      <c r="N29" s="150"/>
      <c r="O29" s="150"/>
      <c r="P29" s="150"/>
      <c r="Q29" s="150"/>
      <c r="R29" s="150"/>
    </row>
    <row r="30" spans="1:18" s="137" customFormat="1" ht="32.25" customHeight="1" x14ac:dyDescent="0.25">
      <c r="A30" s="150" t="s">
        <v>402</v>
      </c>
      <c r="B30" s="150"/>
      <c r="C30" s="150"/>
      <c r="D30" s="150"/>
      <c r="E30" s="150"/>
      <c r="F30" s="150"/>
      <c r="G30" s="150"/>
      <c r="H30" s="150"/>
      <c r="I30" s="150"/>
      <c r="J30" s="150"/>
      <c r="K30" s="150"/>
      <c r="L30" s="150"/>
      <c r="M30" s="150"/>
      <c r="N30" s="150"/>
      <c r="O30" s="150"/>
      <c r="P30" s="150"/>
      <c r="Q30" s="150"/>
      <c r="R30" s="150"/>
    </row>
    <row r="31" spans="1:18" s="137" customFormat="1" x14ac:dyDescent="0.25"/>
    <row r="33" spans="1:18" ht="24.75" customHeight="1" x14ac:dyDescent="0.25">
      <c r="A33" s="138" t="s">
        <v>403</v>
      </c>
    </row>
    <row r="34" spans="1:18" ht="91.9" customHeight="1" x14ac:dyDescent="0.25">
      <c r="A34" s="154" t="s">
        <v>404</v>
      </c>
      <c r="B34" s="154"/>
      <c r="C34" s="154"/>
      <c r="D34" s="154"/>
      <c r="E34" s="154"/>
      <c r="F34" s="154"/>
      <c r="G34" s="154"/>
      <c r="H34" s="154"/>
      <c r="I34" s="154"/>
      <c r="J34" s="154"/>
      <c r="K34" s="154"/>
      <c r="L34" s="154"/>
      <c r="M34" s="154"/>
      <c r="N34" s="154"/>
      <c r="O34" s="154"/>
      <c r="P34" s="154"/>
      <c r="Q34" s="154"/>
      <c r="R34" s="154"/>
    </row>
    <row r="35" spans="1:18" ht="5.25" customHeight="1" x14ac:dyDescent="0.25"/>
    <row r="36" spans="1:18" ht="51.75" customHeight="1" x14ac:dyDescent="0.25">
      <c r="A36" s="154" t="s">
        <v>405</v>
      </c>
      <c r="B36" s="154"/>
      <c r="C36" s="154"/>
      <c r="D36" s="154"/>
      <c r="E36" s="154"/>
      <c r="F36" s="154"/>
      <c r="G36" s="154"/>
      <c r="H36" s="154"/>
      <c r="I36" s="154"/>
      <c r="J36" s="154"/>
      <c r="K36" s="154"/>
      <c r="L36" s="154"/>
      <c r="M36" s="154"/>
      <c r="N36" s="154"/>
      <c r="O36" s="154"/>
      <c r="P36" s="154"/>
      <c r="Q36" s="154"/>
      <c r="R36" s="154"/>
    </row>
    <row r="37" spans="1:18" ht="5.25" customHeight="1" x14ac:dyDescent="0.25">
      <c r="A37" s="43"/>
    </row>
    <row r="38" spans="1:18" ht="153.75" customHeight="1" x14ac:dyDescent="0.25">
      <c r="A38" s="154" t="s">
        <v>406</v>
      </c>
      <c r="B38" s="154"/>
      <c r="C38" s="154"/>
      <c r="D38" s="154"/>
      <c r="E38" s="154"/>
      <c r="F38" s="154"/>
      <c r="G38" s="154"/>
      <c r="H38" s="154"/>
      <c r="I38" s="154"/>
      <c r="J38" s="154"/>
      <c r="K38" s="154"/>
      <c r="L38" s="154"/>
      <c r="M38" s="154"/>
      <c r="N38" s="154"/>
      <c r="O38" s="154"/>
      <c r="P38" s="154"/>
      <c r="Q38" s="154"/>
      <c r="R38" s="154"/>
    </row>
    <row r="39" spans="1:18" ht="5.25" customHeight="1" x14ac:dyDescent="0.25">
      <c r="A39" s="95"/>
    </row>
    <row r="40" spans="1:18" ht="15.75" x14ac:dyDescent="0.25">
      <c r="A40" s="139" t="s">
        <v>407</v>
      </c>
    </row>
    <row r="41" spans="1:18" ht="15.75" x14ac:dyDescent="0.25">
      <c r="A41" s="145" t="s">
        <v>423</v>
      </c>
    </row>
    <row r="42" spans="1:18" ht="5.25" customHeight="1" x14ac:dyDescent="0.25">
      <c r="A42" s="95"/>
    </row>
    <row r="43" spans="1:18" x14ac:dyDescent="0.25">
      <c r="A43" s="140" t="s">
        <v>312</v>
      </c>
      <c r="B43" s="43"/>
      <c r="C43" s="43"/>
      <c r="D43" s="43"/>
      <c r="E43" s="43"/>
      <c r="H43" s="140" t="s">
        <v>315</v>
      </c>
      <c r="I43" s="43"/>
    </row>
    <row r="44" spans="1:18" x14ac:dyDescent="0.25">
      <c r="A44" s="141" t="s">
        <v>307</v>
      </c>
      <c r="B44" s="141">
        <v>0</v>
      </c>
      <c r="C44" s="141">
        <v>1</v>
      </c>
      <c r="D44" s="141">
        <v>2</v>
      </c>
      <c r="E44" s="141" t="s">
        <v>316</v>
      </c>
      <c r="H44" s="141" t="s">
        <v>328</v>
      </c>
      <c r="I44" s="142">
        <v>1012.02</v>
      </c>
    </row>
    <row r="45" spans="1:18" x14ac:dyDescent="0.25">
      <c r="A45" s="141" t="s">
        <v>408</v>
      </c>
      <c r="B45" s="142">
        <v>534.82000000000005</v>
      </c>
      <c r="C45" s="142">
        <v>765.77</v>
      </c>
      <c r="D45" s="142">
        <v>913.46</v>
      </c>
      <c r="E45" s="142">
        <v>243.1</v>
      </c>
      <c r="H45" s="141" t="s">
        <v>330</v>
      </c>
      <c r="I45" s="142">
        <v>1571.16</v>
      </c>
    </row>
    <row r="46" spans="1:18" ht="5.25" customHeight="1" x14ac:dyDescent="0.25">
      <c r="A46" s="43"/>
      <c r="B46" s="43"/>
      <c r="C46" s="43"/>
      <c r="D46" s="43"/>
      <c r="E46" s="43"/>
      <c r="F46" s="43"/>
    </row>
    <row r="47" spans="1:18" x14ac:dyDescent="0.25">
      <c r="A47" s="140" t="s">
        <v>38</v>
      </c>
      <c r="B47" s="43"/>
      <c r="C47" s="43"/>
      <c r="D47" s="93"/>
      <c r="E47" s="43"/>
      <c r="F47" s="43"/>
      <c r="H47" s="140" t="s">
        <v>409</v>
      </c>
      <c r="I47" s="43"/>
      <c r="J47" s="43"/>
      <c r="K47" s="43"/>
      <c r="L47" s="43"/>
    </row>
    <row r="48" spans="1:18" x14ac:dyDescent="0.25">
      <c r="A48" s="141" t="s">
        <v>307</v>
      </c>
      <c r="B48" s="141">
        <v>0</v>
      </c>
      <c r="C48" s="141">
        <v>1</v>
      </c>
      <c r="D48" s="141">
        <v>2</v>
      </c>
      <c r="E48" s="141">
        <v>3</v>
      </c>
      <c r="F48" s="141" t="s">
        <v>308</v>
      </c>
      <c r="H48" s="141" t="s">
        <v>307</v>
      </c>
      <c r="I48" s="141">
        <v>2</v>
      </c>
      <c r="J48" s="141">
        <v>3</v>
      </c>
      <c r="K48" s="141">
        <v>4</v>
      </c>
      <c r="L48" s="141" t="s">
        <v>324</v>
      </c>
    </row>
    <row r="49" spans="1:12" x14ac:dyDescent="0.25">
      <c r="A49" s="141" t="s">
        <v>410</v>
      </c>
      <c r="B49" s="142">
        <v>534.82000000000005</v>
      </c>
      <c r="C49" s="142">
        <v>765.77</v>
      </c>
      <c r="D49" s="142">
        <v>913.46</v>
      </c>
      <c r="E49" s="142">
        <v>1156.56</v>
      </c>
      <c r="F49" s="142">
        <v>243</v>
      </c>
      <c r="H49" s="141" t="s">
        <v>326</v>
      </c>
      <c r="I49" s="142">
        <v>141.99</v>
      </c>
      <c r="J49" s="142">
        <v>323.91000000000003</v>
      </c>
      <c r="K49" s="142">
        <v>505.83</v>
      </c>
      <c r="L49" s="142">
        <v>89.79</v>
      </c>
    </row>
    <row r="50" spans="1:12" ht="30" x14ac:dyDescent="0.25">
      <c r="A50" s="141" t="s">
        <v>411</v>
      </c>
      <c r="B50" s="142">
        <v>765.77</v>
      </c>
      <c r="C50" s="142">
        <v>913.46</v>
      </c>
      <c r="D50" s="142">
        <v>1095.79</v>
      </c>
      <c r="E50" s="142">
        <v>1338.89</v>
      </c>
      <c r="F50" s="142">
        <v>243</v>
      </c>
      <c r="H50" s="143" t="s">
        <v>327</v>
      </c>
      <c r="I50" s="142">
        <v>71</v>
      </c>
      <c r="J50" s="142">
        <v>71</v>
      </c>
      <c r="K50" s="142">
        <v>71</v>
      </c>
      <c r="L50" s="142">
        <f>K50</f>
        <v>71</v>
      </c>
    </row>
    <row r="51" spans="1:12" ht="5.25" customHeight="1" x14ac:dyDescent="0.25">
      <c r="F51" s="43"/>
    </row>
    <row r="52" spans="1:12" x14ac:dyDescent="0.25">
      <c r="A52" s="140" t="s">
        <v>412</v>
      </c>
      <c r="H52" s="140" t="s">
        <v>314</v>
      </c>
      <c r="J52" s="96"/>
    </row>
    <row r="53" spans="1:12" x14ac:dyDescent="0.25">
      <c r="A53" s="31"/>
      <c r="B53" s="151" t="str">
        <f>'Cheque Energie'!B6</f>
        <v>RFR 2023 par UC &lt; à :</v>
      </c>
      <c r="C53" s="152"/>
      <c r="D53" s="152"/>
      <c r="E53" s="153"/>
      <c r="H53" s="141" t="s">
        <v>328</v>
      </c>
      <c r="I53" s="142">
        <v>971</v>
      </c>
    </row>
    <row r="54" spans="1:12" x14ac:dyDescent="0.25">
      <c r="A54" s="144" t="s">
        <v>297</v>
      </c>
      <c r="B54" s="92">
        <f>'Cheque Energie'!B7</f>
        <v>5700</v>
      </c>
      <c r="C54" s="92">
        <f>'Cheque Energie'!C7</f>
        <v>6800</v>
      </c>
      <c r="D54" s="92">
        <f>'Cheque Energie'!D7</f>
        <v>7850</v>
      </c>
      <c r="E54" s="92">
        <f>'Cheque Energie'!E7</f>
        <v>11000</v>
      </c>
    </row>
    <row r="55" spans="1:12" x14ac:dyDescent="0.25">
      <c r="A55" s="144" t="s">
        <v>298</v>
      </c>
      <c r="B55" s="92">
        <f>'Cheque Energie'!B8</f>
        <v>194</v>
      </c>
      <c r="C55" s="92">
        <f>'Cheque Energie'!C8</f>
        <v>146</v>
      </c>
      <c r="D55" s="92">
        <f>'Cheque Energie'!D8</f>
        <v>98</v>
      </c>
      <c r="E55" s="92">
        <f>'Cheque Energie'!E8</f>
        <v>48</v>
      </c>
    </row>
    <row r="56" spans="1:12" x14ac:dyDescent="0.25">
      <c r="A56" s="144" t="s">
        <v>299</v>
      </c>
      <c r="B56" s="92">
        <f>'Cheque Energie'!B9</f>
        <v>240</v>
      </c>
      <c r="C56" s="92">
        <f>'Cheque Energie'!C9</f>
        <v>176</v>
      </c>
      <c r="D56" s="92">
        <f>'Cheque Energie'!D9</f>
        <v>113</v>
      </c>
      <c r="E56" s="92">
        <f>'Cheque Energie'!E9</f>
        <v>63</v>
      </c>
    </row>
    <row r="57" spans="1:12" x14ac:dyDescent="0.25">
      <c r="A57" s="144" t="s">
        <v>300</v>
      </c>
      <c r="B57" s="92">
        <f>'Cheque Energie'!B10</f>
        <v>277</v>
      </c>
      <c r="C57" s="92">
        <f>'Cheque Energie'!C10</f>
        <v>202</v>
      </c>
      <c r="D57" s="92">
        <f>'Cheque Energie'!D10</f>
        <v>126</v>
      </c>
      <c r="E57" s="92">
        <f>'Cheque Energie'!E10</f>
        <v>76</v>
      </c>
    </row>
    <row r="58" spans="1:12" x14ac:dyDescent="0.25">
      <c r="A58" s="31" t="s">
        <v>413</v>
      </c>
      <c r="B58" s="31"/>
      <c r="C58" s="31"/>
      <c r="D58" s="31"/>
      <c r="E58" s="31"/>
    </row>
  </sheetData>
  <sheetProtection algorithmName="SHA-512" hashValue="qjFEd8BnVd4ZhSchSEId5Nb6OjBWCYTXuXabkGRlTwax4mnlPY92cQEJSmt3rmUwPN4bp9BM3gDwZnLp+288lw==" saltValue="Y2NymHeoLrCoi81KKOJGlw==" spinCount="100000" sheet="1" objects="1" scenarios="1"/>
  <mergeCells count="14">
    <mergeCell ref="B53:E53"/>
    <mergeCell ref="A26:R26"/>
    <mergeCell ref="A34:R34"/>
    <mergeCell ref="A36:R36"/>
    <mergeCell ref="A38:R38"/>
    <mergeCell ref="A28:R28"/>
    <mergeCell ref="A29:R29"/>
    <mergeCell ref="A30:R30"/>
    <mergeCell ref="A27:R27"/>
    <mergeCell ref="D2:M3"/>
    <mergeCell ref="A7:R14"/>
    <mergeCell ref="A21:R21"/>
    <mergeCell ref="A24:R24"/>
    <mergeCell ref="A25:R25"/>
  </mergeCells>
  <hyperlinks>
    <hyperlink ref="A52" r:id="rId1" xr:uid="{00000000-0004-0000-0000-000001000000}"/>
    <hyperlink ref="H52" r:id="rId2" xr:uid="{00000000-0004-0000-0000-000000000000}"/>
    <hyperlink ref="A43" r:id="rId3" xr:uid="{E093B9C8-6C05-4ACA-A655-5EEA9FC2BEA7}"/>
    <hyperlink ref="H43" r:id="rId4" xr:uid="{C68850B7-19F6-4EBF-9B12-5C5E6A86655B}"/>
    <hyperlink ref="A47" r:id="rId5" xr:uid="{25870732-AE15-41E6-AB9A-E89F14C271E5}"/>
    <hyperlink ref="H47" r:id="rId6" xr:uid="{5EE9141D-84D8-4F9A-B7E9-26D6E719A8F6}"/>
  </hyperlinks>
  <pageMargins left="0.7" right="0.7" top="0.75" bottom="0.75" header="0.51180555555555496" footer="0.51180555555555496"/>
  <pageSetup paperSize="9" firstPageNumber="0" orientation="portrait" horizontalDpi="300" verticalDpi="30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B9BD5"/>
    <pageSetUpPr fitToPage="1"/>
  </sheetPr>
  <dimension ref="A1:AMN47"/>
  <sheetViews>
    <sheetView showGridLines="0" zoomScale="80" zoomScaleNormal="80" workbookViewId="0">
      <selection activeCell="Q9" sqref="Q9"/>
    </sheetView>
  </sheetViews>
  <sheetFormatPr baseColWidth="10" defaultColWidth="9.140625" defaultRowHeight="15" x14ac:dyDescent="0.25"/>
  <cols>
    <col min="1" max="1" width="14.140625" style="1" customWidth="1"/>
    <col min="2" max="2" width="22.28515625" style="1" customWidth="1"/>
    <col min="3" max="3" width="11.85546875" style="1" customWidth="1"/>
    <col min="4" max="4" width="31.28515625" style="1" customWidth="1"/>
    <col min="5" max="5" width="17" style="1" customWidth="1"/>
    <col min="6" max="6" width="28.42578125" style="1" customWidth="1"/>
    <col min="7" max="7" width="13.42578125" style="1" customWidth="1"/>
    <col min="8" max="8" width="16.28515625" style="1" customWidth="1"/>
    <col min="9" max="9" width="16.140625" style="1" customWidth="1"/>
    <col min="10" max="10" width="11.7109375" style="1" hidden="1" customWidth="1"/>
    <col min="11" max="11" width="10.5703125" style="1" customWidth="1"/>
    <col min="12" max="12" width="10.28515625" style="1" customWidth="1"/>
    <col min="13" max="15" width="12" style="1" customWidth="1"/>
    <col min="16" max="16" width="12.5703125" style="1" customWidth="1"/>
    <col min="17" max="17" width="12" style="1" customWidth="1"/>
    <col min="18" max="19" width="18.5703125" style="1" customWidth="1"/>
    <col min="20" max="23" width="12" style="1" customWidth="1"/>
    <col min="24" max="1027" width="11.42578125" style="1"/>
  </cols>
  <sheetData>
    <row r="1" spans="1:24 1028:1028" ht="32.1" customHeight="1" x14ac:dyDescent="0.25">
      <c r="A1" s="166" t="s">
        <v>0</v>
      </c>
      <c r="B1" s="167"/>
      <c r="C1" s="167"/>
      <c r="D1" s="167"/>
      <c r="E1" s="167"/>
      <c r="F1" s="167"/>
      <c r="G1" s="167"/>
      <c r="H1" s="167"/>
      <c r="I1" s="167"/>
      <c r="J1" s="167"/>
      <c r="K1" s="167"/>
      <c r="L1" s="167"/>
      <c r="M1" s="167"/>
      <c r="N1" s="167"/>
      <c r="O1" s="167"/>
      <c r="P1" s="167"/>
      <c r="Q1" s="167"/>
      <c r="R1" s="167"/>
      <c r="S1" s="167"/>
      <c r="T1" s="167"/>
      <c r="U1" s="167"/>
      <c r="V1" s="167"/>
      <c r="W1" s="167"/>
      <c r="X1" s="168"/>
    </row>
    <row r="2" spans="1:24 1028:1028" ht="48.75" customHeight="1" x14ac:dyDescent="0.25">
      <c r="A2" s="181" t="s">
        <v>1</v>
      </c>
      <c r="B2" s="181"/>
      <c r="C2" s="182" t="s">
        <v>422</v>
      </c>
      <c r="D2" s="182"/>
      <c r="E2" s="182"/>
      <c r="F2" s="182"/>
      <c r="G2" s="182"/>
      <c r="H2" s="182"/>
      <c r="I2" s="182"/>
      <c r="J2" s="182"/>
      <c r="K2" s="182"/>
      <c r="L2" s="121"/>
      <c r="M2" s="5"/>
      <c r="N2" s="5"/>
      <c r="O2" s="5"/>
      <c r="P2" s="5"/>
      <c r="Q2" s="5"/>
      <c r="R2" s="5"/>
      <c r="S2" s="5"/>
      <c r="T2" s="5"/>
      <c r="U2" s="5"/>
      <c r="V2" s="5"/>
      <c r="W2" s="5"/>
      <c r="X2" s="122"/>
    </row>
    <row r="3" spans="1:24 1028:1028" ht="30" customHeight="1" x14ac:dyDescent="0.25">
      <c r="A3" s="164" t="s">
        <v>2</v>
      </c>
      <c r="B3" s="164"/>
      <c r="C3" s="159" t="s">
        <v>248</v>
      </c>
      <c r="D3" s="159"/>
      <c r="E3" s="12"/>
      <c r="F3" s="12"/>
      <c r="G3" s="12"/>
      <c r="H3" s="12"/>
      <c r="I3" s="12"/>
      <c r="J3" s="12"/>
      <c r="K3" s="12"/>
      <c r="L3" s="4"/>
      <c r="M3" s="4"/>
      <c r="N3" s="4"/>
      <c r="O3" s="4"/>
      <c r="P3" s="4"/>
      <c r="Q3" s="4"/>
      <c r="R3" s="4"/>
      <c r="S3" s="4"/>
      <c r="T3" s="4"/>
      <c r="U3" s="4"/>
      <c r="V3" s="4"/>
      <c r="W3" s="4"/>
      <c r="X3" s="123"/>
    </row>
    <row r="4" spans="1:24 1028:1028" ht="30" customHeight="1" x14ac:dyDescent="0.25">
      <c r="A4" s="164" t="s">
        <v>4</v>
      </c>
      <c r="B4" s="164"/>
      <c r="C4" s="169">
        <v>0</v>
      </c>
      <c r="D4" s="169"/>
      <c r="E4" s="2"/>
      <c r="F4" s="2"/>
      <c r="G4" s="2"/>
      <c r="H4" s="2"/>
      <c r="I4" s="2"/>
      <c r="J4" s="2"/>
      <c r="K4" s="2"/>
      <c r="L4" s="5"/>
      <c r="M4" s="5"/>
      <c r="N4" s="5"/>
      <c r="O4" s="5"/>
      <c r="P4" s="5"/>
      <c r="Q4" s="5"/>
      <c r="R4" s="5"/>
      <c r="S4" s="5"/>
      <c r="T4" s="5"/>
      <c r="U4" s="5"/>
      <c r="V4" s="5"/>
      <c r="W4" s="5"/>
      <c r="X4" s="122"/>
    </row>
    <row r="5" spans="1:24 1028:1028" ht="30" customHeight="1" x14ac:dyDescent="0.25">
      <c r="A5" s="164" t="s">
        <v>5</v>
      </c>
      <c r="B5" s="164"/>
      <c r="C5" s="130" t="s">
        <v>6</v>
      </c>
      <c r="D5" s="6"/>
      <c r="E5" s="2"/>
      <c r="F5" s="2"/>
      <c r="G5" s="2"/>
      <c r="H5" s="2"/>
      <c r="I5" s="2"/>
      <c r="J5" s="2"/>
      <c r="K5" s="2"/>
      <c r="L5" s="2"/>
      <c r="M5" s="2"/>
      <c r="N5" s="2"/>
      <c r="O5" s="2"/>
      <c r="P5" s="2"/>
      <c r="Q5" s="2"/>
      <c r="R5" s="2"/>
      <c r="S5" s="2"/>
      <c r="T5" s="2"/>
      <c r="U5" s="2"/>
      <c r="V5" s="2"/>
      <c r="W5" s="2"/>
      <c r="X5" s="126"/>
    </row>
    <row r="6" spans="1:24 1028:1028" ht="30" customHeight="1" x14ac:dyDescent="0.25">
      <c r="A6" s="158" t="s">
        <v>387</v>
      </c>
      <c r="B6" s="158"/>
      <c r="C6" s="7">
        <f>VLOOKUP(C3,'calculs Bât neuf'!A6:F67,6)</f>
        <v>40</v>
      </c>
      <c r="D6" s="8" t="s">
        <v>7</v>
      </c>
      <c r="E6" s="160" t="s">
        <v>421</v>
      </c>
      <c r="F6" s="161"/>
      <c r="G6" s="161"/>
      <c r="H6" s="161"/>
      <c r="I6" s="161"/>
      <c r="J6" s="161"/>
      <c r="K6" s="161"/>
      <c r="L6" s="161"/>
      <c r="M6" s="161"/>
      <c r="N6" s="124"/>
      <c r="O6" s="2"/>
      <c r="P6" s="2"/>
      <c r="Q6" s="2"/>
      <c r="R6" s="2"/>
      <c r="S6" s="2"/>
      <c r="T6" s="2"/>
      <c r="U6" s="2"/>
      <c r="V6" s="2"/>
      <c r="W6" s="2"/>
      <c r="X6" s="126"/>
    </row>
    <row r="7" spans="1:24 1028:1028" ht="30" customHeight="1" x14ac:dyDescent="0.25">
      <c r="A7" s="158" t="s">
        <v>355</v>
      </c>
      <c r="B7" s="158"/>
      <c r="C7" s="159" t="s">
        <v>375</v>
      </c>
      <c r="D7" s="159"/>
      <c r="E7" s="162"/>
      <c r="F7" s="163"/>
      <c r="G7" s="163"/>
      <c r="H7" s="163"/>
      <c r="I7" s="163"/>
      <c r="J7" s="163"/>
      <c r="K7" s="163"/>
      <c r="L7" s="163"/>
      <c r="M7" s="163"/>
      <c r="N7" s="125"/>
      <c r="O7" s="4"/>
      <c r="P7" s="4"/>
      <c r="Q7" s="4"/>
      <c r="R7" s="4"/>
      <c r="S7" s="4"/>
      <c r="T7" s="4"/>
      <c r="U7" s="4"/>
      <c r="V7" s="4"/>
      <c r="W7" s="4"/>
      <c r="X7" s="123"/>
    </row>
    <row r="8" spans="1:24 1028:1028" ht="15" customHeight="1" x14ac:dyDescent="0.25">
      <c r="A8" s="164" t="s">
        <v>11</v>
      </c>
      <c r="B8" s="164"/>
      <c r="C8" s="165">
        <v>5</v>
      </c>
      <c r="D8" s="2"/>
      <c r="E8" s="2"/>
      <c r="F8" s="2"/>
      <c r="G8" s="2"/>
      <c r="H8" s="2"/>
      <c r="I8" s="2"/>
      <c r="J8" s="2"/>
      <c r="K8" s="2"/>
      <c r="L8" s="2"/>
      <c r="M8" s="2"/>
      <c r="N8" s="5"/>
      <c r="O8" s="184" t="s">
        <v>8</v>
      </c>
      <c r="P8" s="185"/>
      <c r="Q8" s="5"/>
      <c r="R8" s="188" t="s">
        <v>9</v>
      </c>
      <c r="T8" s="190" t="s">
        <v>10</v>
      </c>
      <c r="U8" s="191"/>
      <c r="V8" s="5"/>
      <c r="W8" s="5"/>
      <c r="X8" s="122"/>
    </row>
    <row r="9" spans="1:24 1028:1028" x14ac:dyDescent="0.25">
      <c r="A9" s="164"/>
      <c r="B9" s="164"/>
      <c r="C9" s="165"/>
      <c r="D9" s="4"/>
      <c r="E9" s="4"/>
      <c r="F9" s="4"/>
      <c r="G9" s="4"/>
      <c r="H9" s="4"/>
      <c r="I9" s="4"/>
      <c r="J9" s="4"/>
      <c r="K9" s="4"/>
      <c r="L9" s="4"/>
      <c r="M9" s="4"/>
      <c r="N9" s="4"/>
      <c r="O9" s="184"/>
      <c r="P9" s="185"/>
      <c r="Q9" s="4"/>
      <c r="R9" s="188"/>
      <c r="S9" s="4"/>
      <c r="T9" s="190"/>
      <c r="U9" s="191"/>
      <c r="V9" s="4"/>
      <c r="W9" s="4"/>
      <c r="X9" s="123"/>
    </row>
    <row r="10" spans="1:24 1028:1028" ht="34.9" customHeight="1" x14ac:dyDescent="0.25">
      <c r="A10" s="174" t="s">
        <v>367</v>
      </c>
      <c r="B10" s="175"/>
      <c r="C10" s="183" t="s">
        <v>6</v>
      </c>
      <c r="D10" s="183"/>
      <c r="E10" s="176"/>
      <c r="F10" s="177"/>
      <c r="G10" s="174" t="str">
        <f>IF(E14="ballon thermodynamique","Prise en compte de la sur-isolation du ballon d'ECS ?",IF(E15="ballon thermodynamique","Prise en compte de la sur-isolation du ballon d'ECS ?",IF(E16="ballon thermodynamique","Prise en compte de la sur-isolation du ballon d'ECS ?",IF(E17="ballon thermodynamique","Prise en compte de la sur-isolation du ballon d'ECS ?",IF(E18="ballon thermodynamique","Prise en compte de la sur-isolation du ballon d'ECS ?",IF(E14="cumulus élec neuf","Prise en compte de la sur-isolation du ballon d'ECS ?",IF(E15="cumulus élec neuf","Prise en compte de la sur-isolation du ballon d'ECS ?",IF(E16="cumulus élec neuf","Prise en compte de la sur-isolation du ballon d'ECS ?",IF(E17="cumulus élec neuf","Prise en compte de la sur-isolation du ballon d'ECS ?",IF(E18="cumulus élec neuf","Prise en compte de la sur-isolation du ballon d'ECS ?",""))))))))))</f>
        <v>Prise en compte de la sur-isolation du ballon d'ECS ?</v>
      </c>
      <c r="H10" s="175"/>
      <c r="I10" s="178" t="s">
        <v>379</v>
      </c>
      <c r="J10" s="179"/>
      <c r="K10" s="180"/>
      <c r="L10" s="4"/>
      <c r="M10" s="4"/>
      <c r="N10" s="4"/>
      <c r="O10" s="186"/>
      <c r="P10" s="187"/>
      <c r="Q10" s="4"/>
      <c r="R10" s="189"/>
      <c r="S10" s="4"/>
      <c r="T10" s="192"/>
      <c r="U10" s="193"/>
      <c r="V10" s="4"/>
      <c r="W10" s="4"/>
      <c r="X10" s="123"/>
    </row>
    <row r="11" spans="1:24 1028:1028" s="14" customFormat="1" ht="10.5" customHeight="1" x14ac:dyDescent="0.25">
      <c r="A11" s="10"/>
      <c r="B11" s="11"/>
      <c r="C11" s="12"/>
      <c r="D11" s="12"/>
      <c r="E11" s="12"/>
      <c r="F11" s="12"/>
      <c r="G11" s="12"/>
      <c r="H11" s="12"/>
      <c r="I11" s="12"/>
      <c r="J11" s="12"/>
      <c r="K11" s="12"/>
      <c r="L11" s="12"/>
      <c r="M11" s="12"/>
      <c r="N11" s="12"/>
      <c r="O11" s="12"/>
      <c r="P11" s="12"/>
      <c r="Q11" s="12"/>
      <c r="R11" s="12"/>
      <c r="S11" s="12"/>
      <c r="T11" s="13"/>
      <c r="U11" s="13"/>
      <c r="V11" s="13"/>
      <c r="W11" s="119"/>
      <c r="X11" s="120"/>
    </row>
    <row r="12" spans="1:24 1028:1028" ht="29.25" customHeight="1" x14ac:dyDescent="0.25">
      <c r="A12" s="155" t="s">
        <v>361</v>
      </c>
      <c r="B12" s="155"/>
      <c r="C12" s="155" t="s">
        <v>12</v>
      </c>
      <c r="D12" s="155" t="s">
        <v>13</v>
      </c>
      <c r="E12" s="155" t="s">
        <v>380</v>
      </c>
      <c r="F12" s="155" t="s">
        <v>14</v>
      </c>
      <c r="G12" s="155" t="s">
        <v>376</v>
      </c>
      <c r="H12" s="155" t="s">
        <v>360</v>
      </c>
      <c r="I12" s="155" t="s">
        <v>358</v>
      </c>
      <c r="J12" s="155" t="s">
        <v>15</v>
      </c>
      <c r="K12" s="155" t="s">
        <v>16</v>
      </c>
      <c r="L12" s="155"/>
      <c r="M12" s="156" t="s">
        <v>17</v>
      </c>
      <c r="N12" s="155" t="s">
        <v>18</v>
      </c>
      <c r="O12" s="155"/>
      <c r="P12" s="155"/>
      <c r="Q12" s="155"/>
      <c r="R12" s="155"/>
      <c r="S12" s="156" t="s">
        <v>19</v>
      </c>
      <c r="T12" s="156"/>
      <c r="U12" s="156"/>
      <c r="V12" s="155" t="s">
        <v>20</v>
      </c>
      <c r="W12" s="155" t="s">
        <v>21</v>
      </c>
      <c r="X12" s="155" t="s">
        <v>22</v>
      </c>
      <c r="AMN12" s="1"/>
    </row>
    <row r="13" spans="1:24 1028:1028" ht="57" customHeight="1" x14ac:dyDescent="0.25">
      <c r="A13" s="155"/>
      <c r="B13" s="155"/>
      <c r="C13" s="155"/>
      <c r="D13" s="155"/>
      <c r="E13" s="155"/>
      <c r="F13" s="155"/>
      <c r="G13" s="155"/>
      <c r="H13" s="155"/>
      <c r="I13" s="155"/>
      <c r="J13" s="155"/>
      <c r="K13" s="3" t="s">
        <v>23</v>
      </c>
      <c r="L13" s="3" t="s">
        <v>24</v>
      </c>
      <c r="M13" s="156"/>
      <c r="N13" s="15" t="s">
        <v>25</v>
      </c>
      <c r="O13" s="15" t="s">
        <v>26</v>
      </c>
      <c r="P13" s="15" t="s">
        <v>27</v>
      </c>
      <c r="Q13" s="15" t="s">
        <v>28</v>
      </c>
      <c r="R13" s="15" t="s">
        <v>29</v>
      </c>
      <c r="S13" s="16" t="s">
        <v>30</v>
      </c>
      <c r="T13" s="17" t="s">
        <v>31</v>
      </c>
      <c r="U13" s="17" t="s">
        <v>32</v>
      </c>
      <c r="V13" s="155"/>
      <c r="W13" s="155"/>
      <c r="X13" s="155"/>
      <c r="AMN13" s="1"/>
    </row>
    <row r="14" spans="1:24 1028:1028" ht="30" customHeight="1" x14ac:dyDescent="0.25">
      <c r="A14" s="3" t="s">
        <v>33</v>
      </c>
      <c r="B14" s="18" t="s">
        <v>143</v>
      </c>
      <c r="C14" s="19">
        <v>50</v>
      </c>
      <c r="D14" s="20" t="s">
        <v>261</v>
      </c>
      <c r="E14" s="109" t="s">
        <v>192</v>
      </c>
      <c r="F14" s="109" t="s">
        <v>42</v>
      </c>
      <c r="G14" s="118" t="str">
        <f>'calculs Bât neuf'!AM5</f>
        <v>B</v>
      </c>
      <c r="H14" s="113" t="str">
        <f>IF(ISERROR(IF('calculs Bât neuf'!AK5&gt;'calculs Bât neuf'!Y5*1.05,"NON","OUI")),"-",IF('calculs Bât neuf'!AK5&gt;'calculs Bât neuf'!Y5*1.05,"NON","OUI"))</f>
        <v>NON</v>
      </c>
      <c r="I14" s="114">
        <f>IF(ISERROR(1-'calculs Bât neuf'!Y5/'calculs Bât neuf'!AK5),"-",1-'calculs Bât neuf'!Y5/'calculs Bât neuf'!AK5)</f>
        <v>0.60396301014514753</v>
      </c>
      <c r="J14" s="18" t="s">
        <v>37</v>
      </c>
      <c r="K14" s="19">
        <v>2</v>
      </c>
      <c r="L14" s="19">
        <v>1</v>
      </c>
      <c r="M14" s="21">
        <v>400</v>
      </c>
      <c r="N14" s="21">
        <v>10</v>
      </c>
      <c r="O14" s="21">
        <v>0</v>
      </c>
      <c r="P14" s="21">
        <v>120</v>
      </c>
      <c r="Q14" s="21">
        <v>0</v>
      </c>
      <c r="R14" s="21">
        <v>0</v>
      </c>
      <c r="S14" s="22" t="s">
        <v>38</v>
      </c>
      <c r="T14" s="22"/>
      <c r="U14" s="9">
        <f>IF(OR(S14="RSA parent isolé",T14="RSA parent isolé"),IF(K14+L14=1,Ressources!$F$8,IF(K14+L14=2,Ressources!$G$8,IF(K14+L14=3,Ressources!$H$8,IF(K14+L14&gt;3,Ressources!$H$8+(K14+L14-3)*Ressources!$I$8,0)))),IF(AND(S14="ASPA",T14="ASPA"),Ressources!$F$17,IF(AND('Saisie Bât neuf'!T14="RSA socle",'Saisie Bât neuf'!S14="RSA socle"),IF(('Saisie Bât neuf'!K14+'Saisie Bât neuf'!L14)&gt;5,Ressources!$I$4+Ressources!$J$4*(('Saisie Bât neuf'!K14+'Saisie Bât neuf'!L14)-5),IF(('Saisie Bât neuf'!K14+'Saisie Bât neuf'!L14)=2,Ressources!$F$4,IF(('Saisie Bât neuf'!K14+'Saisie Bât neuf'!L14)=3,Ressources!$G$4,IF(('Saisie Bât neuf'!K14+'Saisie Bât neuf'!L14)=4,Ressources!$H$4,IF(('Saisie Bât neuf'!K14+'Saisie Bât neuf'!L14)=5,Ressources!$I$4,0))))), IF(OR(AND('Saisie Bât neuf'!T14="RSA socle",'Saisie Bât neuf'!S14&lt;&gt;"RSA socle"),AND('Saisie Bât neuf'!S14="RSA socle",'Saisie Bât neuf'!T14&lt;&gt;"RSA socle")),IF(('Saisie Bât neuf'!K14+'Saisie Bât neuf'!L14)&gt;4,Ressources!$I$3+Ressources!$J$3*(('Saisie Bât neuf'!K14+'Saisie Bât neuf'!L14)-4),IF(('Saisie Bât neuf'!K14+'Saisie Bât neuf'!L14)=1,Ressources!$F$3,IF(('Saisie Bât neuf'!K14+'Saisie Bât neuf'!L14)=2,Ressources!$G$3,IF(('Saisie Bât neuf'!K14+'Saisie Bât neuf'!L14)=3,Ressources!$H$3,IF(('Saisie Bât neuf'!K14+'Saisie Bât neuf'!L14)=4,Ressources!$I$3,0))))))+IF(S14=Ressources!$A$3,Ressources!$B$3,IF(S14=Ressources!$A$5,Ressources!$B$5,IF(S14=Ressources!$A$6,Ressources!$B$6,IF(S14=Ressources!$A$7,Ressources!$B$7,IF(S14=Ressources!$A$8,Ressources!$B$8,IF(S14=Ressources!$A$9,Ressources!$B$9,IF(S14=Ressources!$A$10,Ressources!$B$10,IF(S14=Ressources!$A$11,Ressources!$B$11,0))))))))+IF(T14=Ressources!$A$3,Ressources!$B$3,IF(T14=Ressources!$A$5,Ressources!$B$5,IF(T14=Ressources!$A$6,Ressources!$B$6,IF(T14=Ressources!$A$7,Ressources!$B$7,IF(T14=Ressources!$A$8,Ressources!$B$8,IF(T14=Ressources!$A$9,Ressources!$B$9,IF(T14=Ressources!$A$10,Ressources!$B$10,IF(T14=Ressources!$A$11,Ressources!$B$11,0)))))))))))</f>
        <v>1007.55</v>
      </c>
      <c r="V14" s="9">
        <f>IF(AND(S14&lt;&gt;0,T14&lt;&gt;0),IF((K14+L14)&gt;6,Ressources!$H$12+(K14+L14-6)*Ressources!$I$12+('Saisie Bât neuf'!K14-2)*Ressources!$I$13,IF((K14+L14)=6,Ressources!$H$12+('Saisie Bât neuf'!K14-2)*Ressources!$H$13,IF((K14+L14)=5,Ressources!$G$12+('Saisie Bât neuf'!K14-2)*Ressources!$G$13,IF((K14+L14)=4,Ressources!$F$12+('Saisie Bât neuf'!K14-2)*Ressources!$F$13,0)))),IF(OR(S14=0,T14=0),IF((K14+L14)&gt;5,Ressources!$H$12+(K14+L14-5)*Ressources!$I$12+('Saisie Bât neuf'!K14-1)*Ressources!$I$13,IF((K14+L14)=5,Ressources!$H$12+('Saisie Bât neuf'!K14-1)*Ressources!$H$13,IF((K14+L14)=4,Ressources!$G$12+('Saisie Bât neuf'!K14-1)*Ressources!$G$13,IF((K14+L14)=3,Ressources!$F$12+('Saisie Bât neuf'!K14-1)*Ressources!$F$13,0))))))</f>
        <v>197.33</v>
      </c>
      <c r="W14" s="9">
        <f>IF(ISERROR('Cheque Energie'!#REF!),0,'Cheque Energie'!#REF!)</f>
        <v>0</v>
      </c>
      <c r="X14" s="21">
        <v>150</v>
      </c>
      <c r="AMN14" s="1"/>
    </row>
    <row r="15" spans="1:24 1028:1028" ht="30" customHeight="1" x14ac:dyDescent="0.25">
      <c r="A15" s="3" t="s">
        <v>39</v>
      </c>
      <c r="B15" s="18"/>
      <c r="C15" s="19"/>
      <c r="D15" s="20"/>
      <c r="E15" s="109"/>
      <c r="F15" s="109"/>
      <c r="G15" s="118" t="e">
        <f>'calculs Bât neuf'!AM6</f>
        <v>#N/A</v>
      </c>
      <c r="H15" s="113" t="str">
        <f>IF(ISERROR(IF('calculs Bât neuf'!AK6&gt;'calculs Bât neuf'!Y6*1.05,"NON","OUI")),"-",IF('calculs Bât neuf'!AK6&gt;'calculs Bât neuf'!Y6*1.05,"NON","OUI"))</f>
        <v>-</v>
      </c>
      <c r="I15" s="114" t="str">
        <f>IF(ISERROR(1-'calculs Bât neuf'!Y6/'calculs Bât neuf'!AK6),"-",1-'calculs Bât neuf'!Y6/'calculs Bât neuf'!AK6)</f>
        <v>-</v>
      </c>
      <c r="J15" s="18" t="s">
        <v>37</v>
      </c>
      <c r="K15" s="19"/>
      <c r="L15" s="19"/>
      <c r="M15" s="21"/>
      <c r="N15" s="21"/>
      <c r="O15" s="21"/>
      <c r="P15" s="21"/>
      <c r="Q15" s="21"/>
      <c r="R15" s="21"/>
      <c r="S15" s="22"/>
      <c r="T15" s="22"/>
      <c r="U15" s="9">
        <f>IF(OR(S15="RSA parent isolé",T15="RSA parent isolé"),IF(K15+L15=1,Ressources!$F$8,IF(K15+L15=2,Ressources!$G$8,IF(K15+L15=3,Ressources!$H$8,IF(K15+L15&gt;3,Ressources!$H$8+(K15+L15-3)*Ressources!$I$8,0)))),IF(AND(S15="ASPA",T15="ASPA"),Ressources!$F$17,IF(AND('Saisie Bât neuf'!T15="RSA socle",'Saisie Bât neuf'!S15="RSA socle"),IF(('Saisie Bât neuf'!K15+'Saisie Bât neuf'!L15)&gt;5,Ressources!$I$4+Ressources!$J$4*(('Saisie Bât neuf'!K15+'Saisie Bât neuf'!L15)-5),IF(('Saisie Bât neuf'!K15+'Saisie Bât neuf'!L15)=2,Ressources!$F$4,IF(('Saisie Bât neuf'!K15+'Saisie Bât neuf'!L15)=3,Ressources!$G$4,IF(('Saisie Bât neuf'!K15+'Saisie Bât neuf'!L15)=4,Ressources!$H$4,IF(('Saisie Bât neuf'!K15+'Saisie Bât neuf'!L15)=5,Ressources!$I$4,0))))), IF(OR(AND('Saisie Bât neuf'!T15="RSA socle",'Saisie Bât neuf'!S15&lt;&gt;"RSA socle"),AND('Saisie Bât neuf'!S15="RSA socle",'Saisie Bât neuf'!T15&lt;&gt;"RSA socle")),IF(('Saisie Bât neuf'!K15+'Saisie Bât neuf'!L15)&gt;4,Ressources!$I$3+Ressources!$J$3*(('Saisie Bât neuf'!K15+'Saisie Bât neuf'!L15)-4),IF(('Saisie Bât neuf'!K15+'Saisie Bât neuf'!L15)=1,Ressources!$F$3,IF(('Saisie Bât neuf'!K15+'Saisie Bât neuf'!L15)=2,Ressources!$G$3,IF(('Saisie Bât neuf'!K15+'Saisie Bât neuf'!L15)=3,Ressources!$H$3,IF(('Saisie Bât neuf'!K15+'Saisie Bât neuf'!L15)=4,Ressources!$I$3,0))))))+IF(S15=Ressources!$A$3,Ressources!$B$3,IF(S15=Ressources!$A$5,Ressources!$B$5,IF(S15=Ressources!$A$6,Ressources!$B$6,IF(S15=Ressources!$A$7,Ressources!$B$7,IF(S15=Ressources!$A$8,Ressources!$B$8,IF(S15=Ressources!$A$9,Ressources!$B$9,IF(S15=Ressources!$A$10,Ressources!$B$10,IF(S15=Ressources!$A$11,Ressources!$B$11,0))))))))+IF(T15=Ressources!$A$3,Ressources!$B$3,IF(T15=Ressources!$A$5,Ressources!$B$5,IF(T15=Ressources!$A$6,Ressources!$B$6,IF(T15=Ressources!$A$7,Ressources!$B$7,IF(T15=Ressources!$A$8,Ressources!$B$8,IF(T15=Ressources!$A$9,Ressources!$B$9,IF(T15=Ressources!$A$10,Ressources!$B$10,IF(T15=Ressources!$A$11,Ressources!$B$11,0)))))))))))</f>
        <v>0</v>
      </c>
      <c r="V15" s="9">
        <f>IF(AND(S15&lt;&gt;0,T15&lt;&gt;0),IF((K15+L15)&gt;6,Ressources!$H$12+(K15+L15-6)*Ressources!$I$12+('Saisie Bât neuf'!K15-2)*Ressources!$I$13,IF((K15+L15)=6,Ressources!$H$12+('Saisie Bât neuf'!K15-2)*Ressources!$H$13,IF((K15+L15)=5,Ressources!$G$12+('Saisie Bât neuf'!K15-2)*Ressources!$G$13,IF((K15+L15)=4,Ressources!$F$12+('Saisie Bât neuf'!K15-2)*Ressources!$F$13,0)))),IF(OR(S15=0,T15=0),IF((K15+L15)&gt;5,Ressources!$H$12+(K15+L15-5)*Ressources!$I$12+('Saisie Bât neuf'!K15-1)*Ressources!$I$13,IF((K15+L15)=5,Ressources!$H$12+('Saisie Bât neuf'!K15-1)*Ressources!$H$13,IF((K15+L15)=4,Ressources!$G$12+('Saisie Bât neuf'!K15-1)*Ressources!$G$13,IF((K15+L15)=3,Ressources!$F$12+('Saisie Bât neuf'!K15-1)*Ressources!$F$13,0))))))</f>
        <v>0</v>
      </c>
      <c r="W15" s="9">
        <f>IF(ISERROR('Cheque Energie'!#REF!),0,'Cheque Energie'!#REF!)</f>
        <v>0</v>
      </c>
      <c r="X15" s="21"/>
      <c r="AMN15" s="1"/>
    </row>
    <row r="16" spans="1:24 1028:1028" ht="30" customHeight="1" x14ac:dyDescent="0.25">
      <c r="A16" s="3" t="s">
        <v>43</v>
      </c>
      <c r="B16" s="18"/>
      <c r="C16" s="19"/>
      <c r="D16" s="20"/>
      <c r="E16" s="109"/>
      <c r="F16" s="109"/>
      <c r="G16" s="118" t="e">
        <f>'calculs Bât neuf'!AM7</f>
        <v>#N/A</v>
      </c>
      <c r="H16" s="113" t="str">
        <f>IF(ISERROR(IF('calculs Bât neuf'!AK7&gt;'calculs Bât neuf'!Y7*1.05,"NON","OUI")),"-",IF('calculs Bât neuf'!AK7&gt;'calculs Bât neuf'!Y7*1.05,"NON","OUI"))</f>
        <v>-</v>
      </c>
      <c r="I16" s="114" t="str">
        <f>IF(ISERROR(1-'calculs Bât neuf'!Y7/'calculs Bât neuf'!AK7),"-",1-'calculs Bât neuf'!Y7/'calculs Bât neuf'!AK7)</f>
        <v>-</v>
      </c>
      <c r="J16" s="18" t="s">
        <v>37</v>
      </c>
      <c r="K16" s="19"/>
      <c r="L16" s="19"/>
      <c r="M16" s="21"/>
      <c r="N16" s="21"/>
      <c r="O16" s="21"/>
      <c r="P16" s="21"/>
      <c r="Q16" s="21"/>
      <c r="R16" s="21"/>
      <c r="S16" s="22"/>
      <c r="T16" s="22"/>
      <c r="U16" s="9">
        <f>IF(OR(S16="RSA parent isolé",T16="RSA parent isolé"),IF(K16+L16=1,Ressources!$F$8,IF(K16+L16=2,Ressources!$G$8,IF(K16+L16=3,Ressources!$H$8,IF(K16+L16&gt;3,Ressources!$H$8+(K16+L16-3)*Ressources!$I$8,0)))),IF(AND(S16="ASPA",T16="ASPA"),Ressources!$F$17,IF(AND('Saisie Bât neuf'!T16="RSA socle",'Saisie Bât neuf'!S16="RSA socle"),IF(('Saisie Bât neuf'!K16+'Saisie Bât neuf'!L16)&gt;5,Ressources!$I$4+Ressources!$J$4*(('Saisie Bât neuf'!K16+'Saisie Bât neuf'!L16)-5),IF(('Saisie Bât neuf'!K16+'Saisie Bât neuf'!L16)=2,Ressources!$F$4,IF(('Saisie Bât neuf'!K16+'Saisie Bât neuf'!L16)=3,Ressources!$G$4,IF(('Saisie Bât neuf'!K16+'Saisie Bât neuf'!L16)=4,Ressources!$H$4,IF(('Saisie Bât neuf'!K16+'Saisie Bât neuf'!L16)=5,Ressources!$I$4,0))))), IF(OR(AND('Saisie Bât neuf'!T16="RSA socle",'Saisie Bât neuf'!S16&lt;&gt;"RSA socle"),AND('Saisie Bât neuf'!S16="RSA socle",'Saisie Bât neuf'!T16&lt;&gt;"RSA socle")),IF(('Saisie Bât neuf'!K16+'Saisie Bât neuf'!L16)&gt;4,Ressources!$I$3+Ressources!$J$3*(('Saisie Bât neuf'!K16+'Saisie Bât neuf'!L16)-4),IF(('Saisie Bât neuf'!K16+'Saisie Bât neuf'!L16)=1,Ressources!$F$3,IF(('Saisie Bât neuf'!K16+'Saisie Bât neuf'!L16)=2,Ressources!$G$3,IF(('Saisie Bât neuf'!K16+'Saisie Bât neuf'!L16)=3,Ressources!$H$3,IF(('Saisie Bât neuf'!K16+'Saisie Bât neuf'!L16)=4,Ressources!$I$3,0))))))+IF(S16=Ressources!$A$3,Ressources!$B$3,IF(S16=Ressources!$A$5,Ressources!$B$5,IF(S16=Ressources!$A$6,Ressources!$B$6,IF(S16=Ressources!$A$7,Ressources!$B$7,IF(S16=Ressources!$A$8,Ressources!$B$8,IF(S16=Ressources!$A$9,Ressources!$B$9,IF(S16=Ressources!$A$10,Ressources!$B$10,IF(S16=Ressources!$A$11,Ressources!$B$11,0))))))))+IF(T16=Ressources!$A$3,Ressources!$B$3,IF(T16=Ressources!$A$5,Ressources!$B$5,IF(T16=Ressources!$A$6,Ressources!$B$6,IF(T16=Ressources!$A$7,Ressources!$B$7,IF(T16=Ressources!$A$8,Ressources!$B$8,IF(T16=Ressources!$A$9,Ressources!$B$9,IF(T16=Ressources!$A$10,Ressources!$B$10,IF(T16=Ressources!$A$11,Ressources!$B$11,0)))))))))))</f>
        <v>0</v>
      </c>
      <c r="V16" s="9">
        <f>IF(AND(S16&lt;&gt;0,T16&lt;&gt;0),IF((K16+L16)&gt;6,Ressources!$H$12+(K16+L16-6)*Ressources!$I$12+('Saisie Bât neuf'!K16-2)*Ressources!$I$13,IF((K16+L16)=6,Ressources!$H$12+('Saisie Bât neuf'!K16-2)*Ressources!$H$13,IF((K16+L16)=5,Ressources!$G$12+('Saisie Bât neuf'!K16-2)*Ressources!$G$13,IF((K16+L16)=4,Ressources!$F$12+('Saisie Bât neuf'!K16-2)*Ressources!$F$13,0)))),IF(OR(S16=0,T16=0),IF((K16+L16)&gt;5,Ressources!$H$12+(K16+L16-5)*Ressources!$I$12+('Saisie Bât neuf'!K16-1)*Ressources!$I$13,IF((K16+L16)=5,Ressources!$H$12+('Saisie Bât neuf'!K16-1)*Ressources!$H$13,IF((K16+L16)=4,Ressources!$G$12+('Saisie Bât neuf'!K16-1)*Ressources!$G$13,IF((K16+L16)=3,Ressources!$F$12+('Saisie Bât neuf'!K16-1)*Ressources!$F$13,0))))))</f>
        <v>0</v>
      </c>
      <c r="W16" s="9">
        <f>IF(ISERROR('Cheque Energie'!#REF!),0,'Cheque Energie'!#REF!)</f>
        <v>0</v>
      </c>
      <c r="X16" s="21"/>
      <c r="AMN16" s="1"/>
    </row>
    <row r="17" spans="1:24 1028:1028" ht="30" customHeight="1" x14ac:dyDescent="0.25">
      <c r="A17" s="3" t="s">
        <v>44</v>
      </c>
      <c r="B17" s="18"/>
      <c r="C17" s="19"/>
      <c r="D17" s="20"/>
      <c r="E17" s="109"/>
      <c r="F17" s="109"/>
      <c r="G17" s="118" t="e">
        <f>'calculs Bât neuf'!AM8</f>
        <v>#N/A</v>
      </c>
      <c r="H17" s="113" t="str">
        <f>IF(ISERROR(IF('calculs Bât neuf'!AK8&gt;'calculs Bât neuf'!Y8*1.05,"NON","OUI")),"-",IF('calculs Bât neuf'!AK8&gt;'calculs Bât neuf'!Y8*1.05,"NON","OUI"))</f>
        <v>-</v>
      </c>
      <c r="I17" s="114" t="str">
        <f>IF(ISERROR(1-'calculs Bât neuf'!Y8/'calculs Bât neuf'!AK8),"-",1-'calculs Bât neuf'!Y8/'calculs Bât neuf'!AK8)</f>
        <v>-</v>
      </c>
      <c r="J17" s="18" t="s">
        <v>37</v>
      </c>
      <c r="K17" s="19"/>
      <c r="L17" s="19"/>
      <c r="M17" s="21"/>
      <c r="N17" s="21"/>
      <c r="O17" s="21"/>
      <c r="P17" s="21"/>
      <c r="Q17" s="21"/>
      <c r="R17" s="21"/>
      <c r="S17" s="22"/>
      <c r="T17" s="22"/>
      <c r="U17" s="9">
        <f>IF(OR(S17="RSA parent isolé",T17="RSA parent isolé"),IF(K17+L17=1,Ressources!$F$8,IF(K17+L17=2,Ressources!$G$8,IF(K17+L17=3,Ressources!$H$8,IF(K17+L17&gt;3,Ressources!$H$8+(K17+L17-3)*Ressources!$I$8,0)))),IF(AND(S17="ASPA",T17="ASPA"),Ressources!$F$17,IF(AND('Saisie Bât neuf'!T17="RSA socle",'Saisie Bât neuf'!S17="RSA socle"),IF(('Saisie Bât neuf'!K17+'Saisie Bât neuf'!L17)&gt;5,Ressources!$I$4+Ressources!$J$4*(('Saisie Bât neuf'!K17+'Saisie Bât neuf'!L17)-5),IF(('Saisie Bât neuf'!K17+'Saisie Bât neuf'!L17)=2,Ressources!$F$4,IF(('Saisie Bât neuf'!K17+'Saisie Bât neuf'!L17)=3,Ressources!$G$4,IF(('Saisie Bât neuf'!K17+'Saisie Bât neuf'!L17)=4,Ressources!$H$4,IF(('Saisie Bât neuf'!K17+'Saisie Bât neuf'!L17)=5,Ressources!$I$4,0))))), IF(OR(AND('Saisie Bât neuf'!T17="RSA socle",'Saisie Bât neuf'!S17&lt;&gt;"RSA socle"),AND('Saisie Bât neuf'!S17="RSA socle",'Saisie Bât neuf'!T17&lt;&gt;"RSA socle")),IF(('Saisie Bât neuf'!K17+'Saisie Bât neuf'!L17)&gt;4,Ressources!$I$3+Ressources!$J$3*(('Saisie Bât neuf'!K17+'Saisie Bât neuf'!L17)-4),IF(('Saisie Bât neuf'!K17+'Saisie Bât neuf'!L17)=1,Ressources!$F$3,IF(('Saisie Bât neuf'!K17+'Saisie Bât neuf'!L17)=2,Ressources!$G$3,IF(('Saisie Bât neuf'!K17+'Saisie Bât neuf'!L17)=3,Ressources!$H$3,IF(('Saisie Bât neuf'!K17+'Saisie Bât neuf'!L17)=4,Ressources!$I$3,0))))))+IF(S17=Ressources!$A$3,Ressources!$B$3,IF(S17=Ressources!$A$5,Ressources!$B$5,IF(S17=Ressources!$A$6,Ressources!$B$6,IF(S17=Ressources!$A$7,Ressources!$B$7,IF(S17=Ressources!$A$8,Ressources!$B$8,IF(S17=Ressources!$A$9,Ressources!$B$9,IF(S17=Ressources!$A$10,Ressources!$B$10,IF(S17=Ressources!$A$11,Ressources!$B$11,0))))))))+IF(T17=Ressources!$A$3,Ressources!$B$3,IF(T17=Ressources!$A$5,Ressources!$B$5,IF(T17=Ressources!$A$6,Ressources!$B$6,IF(T17=Ressources!$A$7,Ressources!$B$7,IF(T17=Ressources!$A$8,Ressources!$B$8,IF(T17=Ressources!$A$9,Ressources!$B$9,IF(T17=Ressources!$A$10,Ressources!$B$10,IF(T17=Ressources!$A$11,Ressources!$B$11,0)))))))))))</f>
        <v>0</v>
      </c>
      <c r="V17" s="9">
        <f>IF(AND(S17&lt;&gt;0,T17&lt;&gt;0),IF((K17+L17)&gt;6,Ressources!$H$12+(K17+L17-6)*Ressources!$I$12+('Saisie Bât neuf'!K17-2)*Ressources!$I$13,IF((K17+L17)=6,Ressources!$H$12+('Saisie Bât neuf'!K17-2)*Ressources!$H$13,IF((K17+L17)=5,Ressources!$G$12+('Saisie Bât neuf'!K17-2)*Ressources!$G$13,IF((K17+L17)=4,Ressources!$F$12+('Saisie Bât neuf'!K17-2)*Ressources!$F$13,0)))),IF(OR(S17=0,T17=0),IF((K17+L17)&gt;5,Ressources!$H$12+(K17+L17-5)*Ressources!$I$12+('Saisie Bât neuf'!K17-1)*Ressources!$I$13,IF((K17+L17)=5,Ressources!$H$12+('Saisie Bât neuf'!K17-1)*Ressources!$H$13,IF((K17+L17)=4,Ressources!$G$12+('Saisie Bât neuf'!K17-1)*Ressources!$G$13,IF((K17+L17)=3,Ressources!$F$12+('Saisie Bât neuf'!K17-1)*Ressources!$F$13,0))))))</f>
        <v>0</v>
      </c>
      <c r="W17" s="9">
        <f>IF(ISERROR('Cheque Energie'!#REF!),0,'Cheque Energie'!#REF!)</f>
        <v>0</v>
      </c>
      <c r="X17" s="21"/>
      <c r="AMN17" s="1"/>
    </row>
    <row r="18" spans="1:24 1028:1028" ht="30" customHeight="1" x14ac:dyDescent="0.25">
      <c r="A18" s="3" t="s">
        <v>45</v>
      </c>
      <c r="B18" s="18"/>
      <c r="C18" s="19"/>
      <c r="D18" s="20"/>
      <c r="E18" s="109"/>
      <c r="F18" s="109"/>
      <c r="G18" s="118" t="e">
        <f>'calculs Bât neuf'!AM9</f>
        <v>#N/A</v>
      </c>
      <c r="H18" s="113" t="str">
        <f>IF(ISERROR(IF('calculs Bât neuf'!AK9&gt;'calculs Bât neuf'!Y9*1.05,"NON","OUI")),"-",IF('calculs Bât neuf'!AK9&gt;'calculs Bât neuf'!Y9*1.05,"NON","OUI"))</f>
        <v>-</v>
      </c>
      <c r="I18" s="114" t="str">
        <f>IF(ISERROR(1-'calculs Bât neuf'!Y9/'calculs Bât neuf'!AK9),"-",1-'calculs Bât neuf'!Y9/'calculs Bât neuf'!AK9)</f>
        <v>-</v>
      </c>
      <c r="J18" s="18" t="s">
        <v>37</v>
      </c>
      <c r="K18" s="19"/>
      <c r="L18" s="19"/>
      <c r="M18" s="21"/>
      <c r="N18" s="21"/>
      <c r="O18" s="21"/>
      <c r="P18" s="21"/>
      <c r="Q18" s="21"/>
      <c r="R18" s="21"/>
      <c r="S18" s="22"/>
      <c r="T18" s="22"/>
      <c r="U18" s="9">
        <f>IF(OR(S18="RSA parent isolé",T18="RSA parent isolé"),IF(K18+L18=1,Ressources!$F$8,IF(K18+L18=2,Ressources!$G$8,IF(K18+L18=3,Ressources!$H$8,IF(K18+L18&gt;3,Ressources!$H$8+(K18+L18-3)*Ressources!$I$8,0)))),IF(AND(S18="ASPA",T18="ASPA"),Ressources!$F$17,IF(AND('Saisie Bât neuf'!T18="RSA socle",'Saisie Bât neuf'!S18="RSA socle"),IF(('Saisie Bât neuf'!K18+'Saisie Bât neuf'!L18)&gt;5,Ressources!$I$4+Ressources!$J$4*(('Saisie Bât neuf'!K18+'Saisie Bât neuf'!L18)-5),IF(('Saisie Bât neuf'!K18+'Saisie Bât neuf'!L18)=2,Ressources!$F$4,IF(('Saisie Bât neuf'!K18+'Saisie Bât neuf'!L18)=3,Ressources!$G$4,IF(('Saisie Bât neuf'!K18+'Saisie Bât neuf'!L18)=4,Ressources!$H$4,IF(('Saisie Bât neuf'!K18+'Saisie Bât neuf'!L18)=5,Ressources!$I$4,0))))), IF(OR(AND('Saisie Bât neuf'!T18="RSA socle",'Saisie Bât neuf'!S18&lt;&gt;"RSA socle"),AND('Saisie Bât neuf'!S18="RSA socle",'Saisie Bât neuf'!T18&lt;&gt;"RSA socle")),IF(('Saisie Bât neuf'!K18+'Saisie Bât neuf'!L18)&gt;4,Ressources!$I$3+Ressources!$J$3*(('Saisie Bât neuf'!K18+'Saisie Bât neuf'!L18)-4),IF(('Saisie Bât neuf'!K18+'Saisie Bât neuf'!L18)=1,Ressources!$F$3,IF(('Saisie Bât neuf'!K18+'Saisie Bât neuf'!L18)=2,Ressources!$G$3,IF(('Saisie Bât neuf'!K18+'Saisie Bât neuf'!L18)=3,Ressources!$H$3,IF(('Saisie Bât neuf'!K18+'Saisie Bât neuf'!L18)=4,Ressources!$I$3,0))))))+IF(S18=Ressources!$A$3,Ressources!$B$3,IF(S18=Ressources!$A$5,Ressources!$B$5,IF(S18=Ressources!$A$6,Ressources!$B$6,IF(S18=Ressources!$A$7,Ressources!$B$7,IF(S18=Ressources!$A$8,Ressources!$B$8,IF(S18=Ressources!$A$9,Ressources!$B$9,IF(S18=Ressources!$A$10,Ressources!$B$10,IF(S18=Ressources!$A$11,Ressources!$B$11,0))))))))+IF(T18=Ressources!$A$3,Ressources!$B$3,IF(T18=Ressources!$A$5,Ressources!$B$5,IF(T18=Ressources!$A$6,Ressources!$B$6,IF(T18=Ressources!$A$7,Ressources!$B$7,IF(T18=Ressources!$A$8,Ressources!$B$8,IF(T18=Ressources!$A$9,Ressources!$B$9,IF(T18=Ressources!$A$10,Ressources!$B$10,IF(T18=Ressources!$A$11,Ressources!$B$11,0)))))))))))</f>
        <v>0</v>
      </c>
      <c r="V18" s="9">
        <f>IF(AND(S18&lt;&gt;0,T18&lt;&gt;0),IF((K18+L18)&gt;6,Ressources!$H$12+(K18+L18-6)*Ressources!$I$12+('Saisie Bât neuf'!K18-2)*Ressources!$I$13,IF((K18+L18)=6,Ressources!$H$12+('Saisie Bât neuf'!K18-2)*Ressources!$H$13,IF((K18+L18)=5,Ressources!$G$12+('Saisie Bât neuf'!K18-2)*Ressources!$G$13,IF((K18+L18)=4,Ressources!$F$12+('Saisie Bât neuf'!K18-2)*Ressources!$F$13,0)))),IF(OR(S18=0,T18=0),IF((K18+L18)&gt;5,Ressources!$H$12+(K18+L18-5)*Ressources!$I$12+('Saisie Bât neuf'!K18-1)*Ressources!$I$13,IF((K18+L18)=5,Ressources!$H$12+('Saisie Bât neuf'!K18-1)*Ressources!$H$13,IF((K18+L18)=4,Ressources!$G$12+('Saisie Bât neuf'!K18-1)*Ressources!$G$13,IF((K18+L18)=3,Ressources!$F$12+('Saisie Bât neuf'!K18-1)*Ressources!$F$13,0))))))</f>
        <v>0</v>
      </c>
      <c r="W18" s="9">
        <f>IF(ISERROR('Cheque Energie'!#REF!),0,'Cheque Energie'!#REF!)</f>
        <v>0</v>
      </c>
      <c r="X18" s="21"/>
      <c r="AMN18" s="1"/>
    </row>
    <row r="19" spans="1:24 1028:1028" ht="30" hidden="1" customHeight="1" x14ac:dyDescent="0.25">
      <c r="A19" s="23" t="s">
        <v>46</v>
      </c>
      <c r="B19" s="24"/>
      <c r="C19" s="25"/>
      <c r="D19" s="25"/>
      <c r="E19" s="25"/>
      <c r="F19" s="25"/>
      <c r="G19" s="25"/>
      <c r="H19" s="25"/>
      <c r="I19" s="25"/>
      <c r="J19" s="25"/>
      <c r="K19" s="25"/>
      <c r="L19" s="25"/>
      <c r="M19" s="25"/>
      <c r="N19" s="25"/>
      <c r="O19" s="25"/>
      <c r="P19" s="25"/>
      <c r="Q19" s="25"/>
      <c r="R19" s="25"/>
      <c r="S19" s="22" t="s">
        <v>38</v>
      </c>
      <c r="T19" s="25"/>
      <c r="U19" s="26">
        <f>IF(AND('Saisie Bât neuf'!T19="RSA socle",'Saisie Bât neuf'!S19="RSA socle"),IF(('Saisie Bât neuf'!K19+'Saisie Bât neuf'!L19)&gt;5,Ressources!$I$4+Ressources!$J$4*(('Saisie Bât neuf'!K19+'Saisie Bât neuf'!L19)-5),IF(('Saisie Bât neuf'!K19+'Saisie Bât neuf'!L19)=2,Ressources!$F$4,IF(('Saisie Bât neuf'!K19+'Saisie Bât neuf'!L19)=3,Ressources!$G$4,IF(('Saisie Bât neuf'!K19+'Saisie Bât neuf'!L19)=4,Ressources!$H$4,IF(('Saisie Bât neuf'!K19+'Saisie Bât neuf'!L19)=5,Ressources!$I$4,0))))), IF(OR(AND('Saisie Bât neuf'!T19="RSA socle",'Saisie Bât neuf'!S19&lt;&gt;"RSA socle"),AND('Saisie Bât neuf'!S19="RSA socle",'Saisie Bât neuf'!T19&lt;&gt;"RSA socle")),IF(('Saisie Bât neuf'!K19+'Saisie Bât neuf'!L19)&gt;4,Ressources!$I$3+Ressources!$J$3*(('Saisie Bât neuf'!K19+'Saisie Bât neuf'!L19)-4),IF(('Saisie Bât neuf'!K19+'Saisie Bât neuf'!L19)=1,Ressources!$F$3,IF(('Saisie Bât neuf'!K19+'Saisie Bât neuf'!L19)=2,Ressources!$G$3,IF(('Saisie Bât neuf'!K19+'Saisie Bât neuf'!L19)=3,Ressources!$H$3,IF(('Saisie Bât neuf'!K19+'Saisie Bât neuf'!L19)=4,Ressources!$I$3,0))))))+IF(S19=Ressources!$A$3,Ressources!$B$3,IF(S19=Ressources!$A$5,Ressources!$B$5,IF(S19=Ressources!$A$6,Ressources!$B$6,IF(S19=Ressources!$A$7,Ressources!$B$7,IF(S19=Ressources!$A$8,Ressources!$B$8,IF(S19=Ressources!$A$9,Ressources!$B$9,IF(S19=Ressources!$A$10,Ressources!$B$10,IF(S19=Ressources!$A$11,Ressources!$B$11,0))))))))+IF(T19=Ressources!$A$3,Ressources!$B$3,IF(T19=Ressources!$A$5,Ressources!$B$5,IF(T19=Ressources!$A$6,Ressources!$B$6,IF(T19=Ressources!$A$7,Ressources!$B$7,IF(T19=Ressources!$A$8,Ressources!$B$8,IF(T19=Ressources!$A$9,Ressources!$B$9,IF(T19=Ressources!$A$10,Ressources!$B$10,IF(T19=Ressources!$A$11,Ressources!$B$11,0)))))))))</f>
        <v>0</v>
      </c>
      <c r="V19" s="26">
        <f>IF(AND(S19&lt;&gt;0,T19&lt;&gt;0),IF((K19+L19)&gt;6,Ressources!$H$12+(K19+L19-6)*Ressources!$I$12+('Saisie Bât neuf'!K19-2)*Ressources!$I$13,IF((K19+L19)=6,Ressources!$H$12+('Saisie Bât neuf'!K19-2)*Ressources!$H$13,IF((K19+L19)=5,Ressources!$G$12+('Saisie Bât neuf'!K19-2)*Ressources!$G$13,IF((K19+L19)=4,Ressources!$F$12+('Saisie Bât neuf'!K19-2)*Ressources!$F$13,0)))),IF(OR(S19=0,T19=0),IF((K19+L19)&gt;5,Ressources!$H$12+(K19+L19-5)*Ressources!$I$12+('Saisie Bât neuf'!K19-1)*Ressources!$I$13,IF((K19+L19)=5,Ressources!$H$12+('Saisie Bât neuf'!K19-1)*Ressources!$H$13,IF((K19+L19)=4,Ressources!$G$12+('Saisie Bât neuf'!K19-1)*Ressources!$G$13,IF((K19+L19)=3,Ressources!$F$12+('Saisie Bât neuf'!K19-1)*Ressources!$F$13,0))))))</f>
        <v>0</v>
      </c>
      <c r="W19" s="26"/>
      <c r="X19" s="25"/>
      <c r="AMN19" s="1"/>
    </row>
    <row r="20" spans="1:24 1028:1028" ht="30" hidden="1" customHeight="1" x14ac:dyDescent="0.25">
      <c r="A20" s="23" t="s">
        <v>47</v>
      </c>
      <c r="B20" s="24"/>
      <c r="C20" s="25"/>
      <c r="D20" s="25"/>
      <c r="E20" s="25"/>
      <c r="F20" s="25"/>
      <c r="G20" s="25"/>
      <c r="H20" s="25"/>
      <c r="I20" s="25"/>
      <c r="J20" s="25"/>
      <c r="K20" s="25"/>
      <c r="L20" s="25"/>
      <c r="M20" s="25"/>
      <c r="N20" s="25"/>
      <c r="O20" s="25"/>
      <c r="P20" s="25"/>
      <c r="Q20" s="25"/>
      <c r="R20" s="25"/>
      <c r="S20" s="22" t="s">
        <v>38</v>
      </c>
      <c r="T20" s="25"/>
      <c r="U20" s="26">
        <f>IF(AND('Saisie Bât neuf'!T20="RSA socle",'Saisie Bât neuf'!S20="RSA socle"),IF(('Saisie Bât neuf'!K20+'Saisie Bât neuf'!L20)&gt;5,Ressources!$I$4+Ressources!$J$4*(('Saisie Bât neuf'!K20+'Saisie Bât neuf'!L20)-5),IF(('Saisie Bât neuf'!K20+'Saisie Bât neuf'!L20)=2,Ressources!$F$4,IF(('Saisie Bât neuf'!K20+'Saisie Bât neuf'!L20)=3,Ressources!$G$4,IF(('Saisie Bât neuf'!K20+'Saisie Bât neuf'!L20)=4,Ressources!$H$4,IF(('Saisie Bât neuf'!K20+'Saisie Bât neuf'!L20)=5,Ressources!$I$4,0))))), IF(OR(AND('Saisie Bât neuf'!T20="RSA socle",'Saisie Bât neuf'!S20&lt;&gt;"RSA socle"),AND('Saisie Bât neuf'!S20="RSA socle",'Saisie Bât neuf'!T20&lt;&gt;"RSA socle")),IF(('Saisie Bât neuf'!K20+'Saisie Bât neuf'!L20)&gt;4,Ressources!$I$3+Ressources!$J$3*(('Saisie Bât neuf'!K20+'Saisie Bât neuf'!L20)-4),IF(('Saisie Bât neuf'!K20+'Saisie Bât neuf'!L20)=1,Ressources!$F$3,IF(('Saisie Bât neuf'!K20+'Saisie Bât neuf'!L20)=2,Ressources!$G$3,IF(('Saisie Bât neuf'!K20+'Saisie Bât neuf'!L20)=3,Ressources!$H$3,IF(('Saisie Bât neuf'!K20+'Saisie Bât neuf'!L20)=4,Ressources!$I$3,0))))))+IF(S20=Ressources!$A$3,Ressources!$B$3,IF(S20=Ressources!$A$5,Ressources!$B$5,IF(S20=Ressources!$A$6,Ressources!$B$6,IF(S20=Ressources!$A$7,Ressources!$B$7,IF(S20=Ressources!$A$8,Ressources!$B$8,IF(S20=Ressources!$A$9,Ressources!$B$9,IF(S20=Ressources!$A$10,Ressources!$B$10,IF(S20=Ressources!$A$11,Ressources!$B$11,0))))))))+IF(T20=Ressources!$A$3,Ressources!$B$3,IF(T20=Ressources!$A$5,Ressources!$B$5,IF(T20=Ressources!$A$6,Ressources!$B$6,IF(T20=Ressources!$A$7,Ressources!$B$7,IF(T20=Ressources!$A$8,Ressources!$B$8,IF(T20=Ressources!$A$9,Ressources!$B$9,IF(T20=Ressources!$A$10,Ressources!$B$10,IF(T20=Ressources!$A$11,Ressources!$B$11,0)))))))))</f>
        <v>0</v>
      </c>
      <c r="V20" s="26">
        <f>IF(AND(S20&lt;&gt;0,T20&lt;&gt;0),IF((K20+L20)&gt;6,Ressources!$H$12+(K20+L20-6)*Ressources!$I$12+('Saisie Bât neuf'!K20-2)*Ressources!$I$13,IF((K20+L20)=6,Ressources!$H$12+('Saisie Bât neuf'!K20-2)*Ressources!$H$13,IF((K20+L20)=5,Ressources!$G$12+('Saisie Bât neuf'!K20-2)*Ressources!$G$13,IF((K20+L20)=4,Ressources!$F$12+('Saisie Bât neuf'!K20-2)*Ressources!$F$13,0)))),IF(OR(S20=0,T20=0),IF((K20+L20)&gt;5,Ressources!$H$12+(K20+L20-5)*Ressources!$I$12+('Saisie Bât neuf'!K20-1)*Ressources!$I$13,IF((K20+L20)=5,Ressources!$H$12+('Saisie Bât neuf'!K20-1)*Ressources!$H$13,IF((K20+L20)=4,Ressources!$G$12+('Saisie Bât neuf'!K20-1)*Ressources!$G$13,IF((K20+L20)=3,Ressources!$F$12+('Saisie Bât neuf'!K20-1)*Ressources!$F$13,0))))))</f>
        <v>0</v>
      </c>
      <c r="W20" s="26"/>
      <c r="X20" s="25"/>
      <c r="AMN20" s="1"/>
    </row>
    <row r="21" spans="1:24 1028:1028" ht="30" hidden="1" customHeight="1" x14ac:dyDescent="0.25">
      <c r="A21" s="23" t="s">
        <v>48</v>
      </c>
      <c r="B21" s="24"/>
      <c r="C21" s="25"/>
      <c r="D21" s="25"/>
      <c r="E21" s="25"/>
      <c r="F21" s="25"/>
      <c r="G21" s="25"/>
      <c r="H21" s="25"/>
      <c r="I21" s="25"/>
      <c r="J21" s="25"/>
      <c r="K21" s="25"/>
      <c r="L21" s="25"/>
      <c r="M21" s="25"/>
      <c r="N21" s="25"/>
      <c r="O21" s="25"/>
      <c r="P21" s="25"/>
      <c r="Q21" s="25"/>
      <c r="R21" s="25"/>
      <c r="S21" s="22" t="s">
        <v>38</v>
      </c>
      <c r="T21" s="25"/>
      <c r="U21" s="26">
        <f>IF(AND('Saisie Bât neuf'!T21="RSA socle",'Saisie Bât neuf'!S21="RSA socle"),IF(('Saisie Bât neuf'!K21+'Saisie Bât neuf'!L21)&gt;5,Ressources!$I$4+Ressources!$J$4*(('Saisie Bât neuf'!K21+'Saisie Bât neuf'!L21)-5),IF(('Saisie Bât neuf'!K21+'Saisie Bât neuf'!L21)=2,Ressources!$F$4,IF(('Saisie Bât neuf'!K21+'Saisie Bât neuf'!L21)=3,Ressources!$G$4,IF(('Saisie Bât neuf'!K21+'Saisie Bât neuf'!L21)=4,Ressources!$H$4,IF(('Saisie Bât neuf'!K21+'Saisie Bât neuf'!L21)=5,Ressources!$I$4,0))))), IF(OR(AND('Saisie Bât neuf'!T21="RSA socle",'Saisie Bât neuf'!S21&lt;&gt;"RSA socle"),AND('Saisie Bât neuf'!S21="RSA socle",'Saisie Bât neuf'!T21&lt;&gt;"RSA socle")),IF(('Saisie Bât neuf'!K21+'Saisie Bât neuf'!L21)&gt;4,Ressources!$I$3+Ressources!$J$3*(('Saisie Bât neuf'!K21+'Saisie Bât neuf'!L21)-4),IF(('Saisie Bât neuf'!K21+'Saisie Bât neuf'!L21)=1,Ressources!$F$3,IF(('Saisie Bât neuf'!K21+'Saisie Bât neuf'!L21)=2,Ressources!$G$3,IF(('Saisie Bât neuf'!K21+'Saisie Bât neuf'!L21)=3,Ressources!$H$3,IF(('Saisie Bât neuf'!K21+'Saisie Bât neuf'!L21)=4,Ressources!$I$3,0))))))+IF(S21=Ressources!$A$3,Ressources!$B$3,IF(S21=Ressources!$A$5,Ressources!$B$5,IF(S21=Ressources!$A$6,Ressources!$B$6,IF(S21=Ressources!$A$7,Ressources!$B$7,IF(S21=Ressources!$A$8,Ressources!$B$8,IF(S21=Ressources!$A$9,Ressources!$B$9,IF(S21=Ressources!$A$10,Ressources!$B$10,IF(S21=Ressources!$A$11,Ressources!$B$11,0))))))))+IF(T21=Ressources!$A$3,Ressources!$B$3,IF(T21=Ressources!$A$5,Ressources!$B$5,IF(T21=Ressources!$A$6,Ressources!$B$6,IF(T21=Ressources!$A$7,Ressources!$B$7,IF(T21=Ressources!$A$8,Ressources!$B$8,IF(T21=Ressources!$A$9,Ressources!$B$9,IF(T21=Ressources!$A$10,Ressources!$B$10,IF(T21=Ressources!$A$11,Ressources!$B$11,0)))))))))</f>
        <v>0</v>
      </c>
      <c r="V21" s="26">
        <f>IF(AND(S21&lt;&gt;0,T21&lt;&gt;0),IF((K21+L21)&gt;6,Ressources!$H$12+(K21+L21-6)*Ressources!$I$12+('Saisie Bât neuf'!K21-2)*Ressources!$I$13,IF((K21+L21)=6,Ressources!$H$12+('Saisie Bât neuf'!K21-2)*Ressources!$H$13,IF((K21+L21)=5,Ressources!$G$12+('Saisie Bât neuf'!K21-2)*Ressources!$G$13,IF((K21+L21)=4,Ressources!$F$12+('Saisie Bât neuf'!K21-2)*Ressources!$F$13,0)))),IF(OR(S21=0,T21=0),IF((K21+L21)&gt;5,Ressources!$H$12+(K21+L21-5)*Ressources!$I$12+('Saisie Bât neuf'!K21-1)*Ressources!$I$13,IF((K21+L21)=5,Ressources!$H$12+('Saisie Bât neuf'!K21-1)*Ressources!$H$13,IF((K21+L21)=4,Ressources!$G$12+('Saisie Bât neuf'!K21-1)*Ressources!$G$13,IF((K21+L21)=3,Ressources!$F$12+('Saisie Bât neuf'!K21-1)*Ressources!$F$13,0))))))</f>
        <v>0</v>
      </c>
      <c r="W21" s="26"/>
      <c r="X21" s="25"/>
      <c r="AMN21" s="1"/>
    </row>
    <row r="22" spans="1:24 1028:1028" ht="30" hidden="1" customHeight="1" x14ac:dyDescent="0.25">
      <c r="A22" s="23" t="s">
        <v>49</v>
      </c>
      <c r="B22" s="24"/>
      <c r="C22" s="25"/>
      <c r="D22" s="25"/>
      <c r="E22" s="25"/>
      <c r="F22" s="25"/>
      <c r="G22" s="25"/>
      <c r="H22" s="25"/>
      <c r="I22" s="25"/>
      <c r="J22" s="25"/>
      <c r="K22" s="25"/>
      <c r="L22" s="25"/>
      <c r="M22" s="25"/>
      <c r="N22" s="25"/>
      <c r="O22" s="25"/>
      <c r="P22" s="25"/>
      <c r="Q22" s="25"/>
      <c r="R22" s="25"/>
      <c r="S22" s="22" t="s">
        <v>38</v>
      </c>
      <c r="T22" s="25"/>
      <c r="U22" s="26">
        <f>IF(AND('Saisie Bât neuf'!T22="RSA socle",'Saisie Bât neuf'!S22="RSA socle"),IF(('Saisie Bât neuf'!K22+'Saisie Bât neuf'!L22)&gt;5,Ressources!$I$4+Ressources!$J$4*(('Saisie Bât neuf'!K22+'Saisie Bât neuf'!L22)-5),IF(('Saisie Bât neuf'!K22+'Saisie Bât neuf'!L22)=2,Ressources!$F$4,IF(('Saisie Bât neuf'!K22+'Saisie Bât neuf'!L22)=3,Ressources!$G$4,IF(('Saisie Bât neuf'!K22+'Saisie Bât neuf'!L22)=4,Ressources!$H$4,IF(('Saisie Bât neuf'!K22+'Saisie Bât neuf'!L22)=5,Ressources!$I$4,0))))), IF(OR(AND('Saisie Bât neuf'!T22="RSA socle",'Saisie Bât neuf'!S22&lt;&gt;"RSA socle"),AND('Saisie Bât neuf'!S22="RSA socle",'Saisie Bât neuf'!T22&lt;&gt;"RSA socle")),IF(('Saisie Bât neuf'!K22+'Saisie Bât neuf'!L22)&gt;4,Ressources!$I$3+Ressources!$J$3*(('Saisie Bât neuf'!K22+'Saisie Bât neuf'!L22)-4),IF(('Saisie Bât neuf'!K22+'Saisie Bât neuf'!L22)=1,Ressources!$F$3,IF(('Saisie Bât neuf'!K22+'Saisie Bât neuf'!L22)=2,Ressources!$G$3,IF(('Saisie Bât neuf'!K22+'Saisie Bât neuf'!L22)=3,Ressources!$H$3,IF(('Saisie Bât neuf'!K22+'Saisie Bât neuf'!L22)=4,Ressources!$I$3,0))))))+IF(S22=Ressources!$A$3,Ressources!$B$3,IF(S22=Ressources!$A$5,Ressources!$B$5,IF(S22=Ressources!$A$6,Ressources!$B$6,IF(S22=Ressources!$A$7,Ressources!$B$7,IF(S22=Ressources!$A$8,Ressources!$B$8,IF(S22=Ressources!$A$9,Ressources!$B$9,IF(S22=Ressources!$A$10,Ressources!$B$10,IF(S22=Ressources!$A$11,Ressources!$B$11,0))))))))+IF(T22=Ressources!$A$3,Ressources!$B$3,IF(T22=Ressources!$A$5,Ressources!$B$5,IF(T22=Ressources!$A$6,Ressources!$B$6,IF(T22=Ressources!$A$7,Ressources!$B$7,IF(T22=Ressources!$A$8,Ressources!$B$8,IF(T22=Ressources!$A$9,Ressources!$B$9,IF(T22=Ressources!$A$10,Ressources!$B$10,IF(T22=Ressources!$A$11,Ressources!$B$11,0)))))))))</f>
        <v>0</v>
      </c>
      <c r="V22" s="26">
        <f>IF(AND(S22&lt;&gt;0,T22&lt;&gt;0),IF((K22+L22)&gt;6,Ressources!$H$12+(K22+L22-6)*Ressources!$I$12+('Saisie Bât neuf'!K22-2)*Ressources!$I$13,IF((K22+L22)=6,Ressources!$H$12+('Saisie Bât neuf'!K22-2)*Ressources!$H$13,IF((K22+L22)=5,Ressources!$G$12+('Saisie Bât neuf'!K22-2)*Ressources!$G$13,IF((K22+L22)=4,Ressources!$F$12+('Saisie Bât neuf'!K22-2)*Ressources!$F$13,0)))),IF(OR(S22=0,T22=0),IF((K22+L22)&gt;5,Ressources!$H$12+(K22+L22-5)*Ressources!$I$12+('Saisie Bât neuf'!K22-1)*Ressources!$I$13,IF((K22+L22)=5,Ressources!$H$12+('Saisie Bât neuf'!K22-1)*Ressources!$H$13,IF((K22+L22)=4,Ressources!$G$12+('Saisie Bât neuf'!K22-1)*Ressources!$G$13,IF((K22+L22)=3,Ressources!$F$12+('Saisie Bât neuf'!K22-1)*Ressources!$F$13,0))))))</f>
        <v>0</v>
      </c>
      <c r="W22" s="26"/>
      <c r="X22" s="25"/>
      <c r="AMN22" s="1"/>
    </row>
    <row r="23" spans="1:24 1028:1028" ht="30" hidden="1" customHeight="1" x14ac:dyDescent="0.25">
      <c r="A23" s="23" t="s">
        <v>50</v>
      </c>
      <c r="B23" s="24"/>
      <c r="C23" s="25"/>
      <c r="D23" s="25"/>
      <c r="E23" s="25"/>
      <c r="F23" s="25"/>
      <c r="G23" s="25"/>
      <c r="H23" s="25"/>
      <c r="I23" s="25"/>
      <c r="J23" s="25"/>
      <c r="K23" s="25"/>
      <c r="L23" s="25"/>
      <c r="M23" s="25"/>
      <c r="N23" s="25"/>
      <c r="O23" s="25"/>
      <c r="P23" s="25"/>
      <c r="Q23" s="25"/>
      <c r="R23" s="25"/>
      <c r="S23" s="22" t="s">
        <v>38</v>
      </c>
      <c r="T23" s="25"/>
      <c r="U23" s="26">
        <f>IF(AND('Saisie Bât neuf'!T23="RSA socle",'Saisie Bât neuf'!S23="RSA socle"),IF(('Saisie Bât neuf'!K23+'Saisie Bât neuf'!L23)&gt;5,Ressources!$I$4+Ressources!$J$4*(('Saisie Bât neuf'!K23+'Saisie Bât neuf'!L23)-5),IF(('Saisie Bât neuf'!K23+'Saisie Bât neuf'!L23)=2,Ressources!$F$4,IF(('Saisie Bât neuf'!K23+'Saisie Bât neuf'!L23)=3,Ressources!$G$4,IF(('Saisie Bât neuf'!K23+'Saisie Bât neuf'!L23)=4,Ressources!$H$4,IF(('Saisie Bât neuf'!K23+'Saisie Bât neuf'!L23)=5,Ressources!$I$4,0))))), IF(OR(AND('Saisie Bât neuf'!T23="RSA socle",'Saisie Bât neuf'!S23&lt;&gt;"RSA socle"),AND('Saisie Bât neuf'!S23="RSA socle",'Saisie Bât neuf'!T23&lt;&gt;"RSA socle")),IF(('Saisie Bât neuf'!K23+'Saisie Bât neuf'!L23)&gt;4,Ressources!$I$3+Ressources!$J$3*(('Saisie Bât neuf'!K23+'Saisie Bât neuf'!L23)-4),IF(('Saisie Bât neuf'!K23+'Saisie Bât neuf'!L23)=1,Ressources!$F$3,IF(('Saisie Bât neuf'!K23+'Saisie Bât neuf'!L23)=2,Ressources!$G$3,IF(('Saisie Bât neuf'!K23+'Saisie Bât neuf'!L23)=3,Ressources!$H$3,IF(('Saisie Bât neuf'!K23+'Saisie Bât neuf'!L23)=4,Ressources!$I$3,0))))))+IF(S23=Ressources!$A$3,Ressources!$B$3,IF(S23=Ressources!$A$5,Ressources!$B$5,IF(S23=Ressources!$A$6,Ressources!$B$6,IF(S23=Ressources!$A$7,Ressources!$B$7,IF(S23=Ressources!$A$8,Ressources!$B$8,IF(S23=Ressources!$A$9,Ressources!$B$9,IF(S23=Ressources!$A$10,Ressources!$B$10,IF(S23=Ressources!$A$11,Ressources!$B$11,0))))))))+IF(T23=Ressources!$A$3,Ressources!$B$3,IF(T23=Ressources!$A$5,Ressources!$B$5,IF(T23=Ressources!$A$6,Ressources!$B$6,IF(T23=Ressources!$A$7,Ressources!$B$7,IF(T23=Ressources!$A$8,Ressources!$B$8,IF(T23=Ressources!$A$9,Ressources!$B$9,IF(T23=Ressources!$A$10,Ressources!$B$10,IF(T23=Ressources!$A$11,Ressources!$B$11,0)))))))))</f>
        <v>0</v>
      </c>
      <c r="V23" s="26">
        <f>IF(AND(S23&lt;&gt;0,T23&lt;&gt;0),IF((K23+L23)&gt;6,Ressources!$H$12+(K23+L23-6)*Ressources!$I$12+('Saisie Bât neuf'!K23-2)*Ressources!$I$13,IF((K23+L23)=6,Ressources!$H$12+('Saisie Bât neuf'!K23-2)*Ressources!$H$13,IF((K23+L23)=5,Ressources!$G$12+('Saisie Bât neuf'!K23-2)*Ressources!$G$13,IF((K23+L23)=4,Ressources!$F$12+('Saisie Bât neuf'!K23-2)*Ressources!$F$13,0)))),IF(OR(S23=0,T23=0),IF((K23+L23)&gt;5,Ressources!$H$12+(K23+L23-5)*Ressources!$I$12+('Saisie Bât neuf'!K23-1)*Ressources!$I$13,IF((K23+L23)=5,Ressources!$H$12+('Saisie Bât neuf'!K23-1)*Ressources!$H$13,IF((K23+L23)=4,Ressources!$G$12+('Saisie Bât neuf'!K23-1)*Ressources!$G$13,IF((K23+L23)=3,Ressources!$F$12+('Saisie Bât neuf'!K23-1)*Ressources!$F$13,0))))))</f>
        <v>0</v>
      </c>
      <c r="W23" s="26"/>
      <c r="X23" s="25"/>
      <c r="AMN23" s="1"/>
    </row>
    <row r="24" spans="1:24 1028:1028" ht="30" hidden="1" customHeight="1" x14ac:dyDescent="0.25">
      <c r="A24" s="23" t="s">
        <v>51</v>
      </c>
      <c r="B24" s="24"/>
      <c r="C24" s="25"/>
      <c r="D24" s="25"/>
      <c r="E24" s="25"/>
      <c r="F24" s="25"/>
      <c r="G24" s="25"/>
      <c r="H24" s="25"/>
      <c r="I24" s="25"/>
      <c r="J24" s="25"/>
      <c r="K24" s="25"/>
      <c r="L24" s="25"/>
      <c r="M24" s="25"/>
      <c r="N24" s="25"/>
      <c r="O24" s="25"/>
      <c r="P24" s="25"/>
      <c r="Q24" s="25"/>
      <c r="R24" s="25"/>
      <c r="S24" s="22" t="s">
        <v>38</v>
      </c>
      <c r="T24" s="25"/>
      <c r="U24" s="26">
        <f>IF(AND('Saisie Bât neuf'!T24="RSA socle",'Saisie Bât neuf'!S24="RSA socle"),IF(('Saisie Bât neuf'!K24+'Saisie Bât neuf'!L24)&gt;5,Ressources!$I$4+Ressources!$J$4*(('Saisie Bât neuf'!K24+'Saisie Bât neuf'!L24)-5),IF(('Saisie Bât neuf'!K24+'Saisie Bât neuf'!L24)=2,Ressources!$F$4,IF(('Saisie Bât neuf'!K24+'Saisie Bât neuf'!L24)=3,Ressources!$G$4,IF(('Saisie Bât neuf'!K24+'Saisie Bât neuf'!L24)=4,Ressources!$H$4,IF(('Saisie Bât neuf'!K24+'Saisie Bât neuf'!L24)=5,Ressources!$I$4,0))))), IF(OR(AND('Saisie Bât neuf'!T24="RSA socle",'Saisie Bât neuf'!S24&lt;&gt;"RSA socle"),AND('Saisie Bât neuf'!S24="RSA socle",'Saisie Bât neuf'!T24&lt;&gt;"RSA socle")),IF(('Saisie Bât neuf'!K24+'Saisie Bât neuf'!L24)&gt;4,Ressources!$I$3+Ressources!$J$3*(('Saisie Bât neuf'!K24+'Saisie Bât neuf'!L24)-4),IF(('Saisie Bât neuf'!K24+'Saisie Bât neuf'!L24)=1,Ressources!$F$3,IF(('Saisie Bât neuf'!K24+'Saisie Bât neuf'!L24)=2,Ressources!$G$3,IF(('Saisie Bât neuf'!K24+'Saisie Bât neuf'!L24)=3,Ressources!$H$3,IF(('Saisie Bât neuf'!K24+'Saisie Bât neuf'!L24)=4,Ressources!$I$3,0))))))+IF(S24=Ressources!$A$3,Ressources!$B$3,IF(S24=Ressources!$A$5,Ressources!$B$5,IF(S24=Ressources!$A$6,Ressources!$B$6,IF(S24=Ressources!$A$7,Ressources!$B$7,IF(S24=Ressources!$A$8,Ressources!$B$8,IF(S24=Ressources!$A$9,Ressources!$B$9,IF(S24=Ressources!$A$10,Ressources!$B$10,IF(S24=Ressources!$A$11,Ressources!$B$11,0))))))))+IF(T24=Ressources!$A$3,Ressources!$B$3,IF(T24=Ressources!$A$5,Ressources!$B$5,IF(T24=Ressources!$A$6,Ressources!$B$6,IF(T24=Ressources!$A$7,Ressources!$B$7,IF(T24=Ressources!$A$8,Ressources!$B$8,IF(T24=Ressources!$A$9,Ressources!$B$9,IF(T24=Ressources!$A$10,Ressources!$B$10,IF(T24=Ressources!$A$11,Ressources!$B$11,0)))))))))</f>
        <v>0</v>
      </c>
      <c r="V24" s="26">
        <f>IF(AND(S24&lt;&gt;0,T24&lt;&gt;0),IF((K24+L24)&gt;6,Ressources!$H$12+(K24+L24-6)*Ressources!$I$12+('Saisie Bât neuf'!K24-2)*Ressources!$I$13,IF((K24+L24)=6,Ressources!$H$12+('Saisie Bât neuf'!K24-2)*Ressources!$H$13,IF((K24+L24)=5,Ressources!$G$12+('Saisie Bât neuf'!K24-2)*Ressources!$G$13,IF((K24+L24)=4,Ressources!$F$12+('Saisie Bât neuf'!K24-2)*Ressources!$F$13,0)))),IF(OR(S24=0,T24=0),IF((K24+L24)&gt;5,Ressources!$H$12+(K24+L24-5)*Ressources!$I$12+('Saisie Bât neuf'!K24-1)*Ressources!$I$13,IF((K24+L24)=5,Ressources!$H$12+('Saisie Bât neuf'!K24-1)*Ressources!$H$13,IF((K24+L24)=4,Ressources!$G$12+('Saisie Bât neuf'!K24-1)*Ressources!$G$13,IF((K24+L24)=3,Ressources!$F$12+('Saisie Bât neuf'!K24-1)*Ressources!$F$13,0))))))</f>
        <v>0</v>
      </c>
      <c r="W24" s="26"/>
      <c r="X24" s="25"/>
      <c r="AMN24" s="1"/>
    </row>
    <row r="25" spans="1:24 1028:1028" ht="30" hidden="1" customHeight="1" x14ac:dyDescent="0.25">
      <c r="A25" s="23" t="s">
        <v>52</v>
      </c>
      <c r="B25" s="24"/>
      <c r="C25" s="25"/>
      <c r="D25" s="25"/>
      <c r="E25" s="25"/>
      <c r="F25" s="25"/>
      <c r="G25" s="25"/>
      <c r="H25" s="25"/>
      <c r="I25" s="25"/>
      <c r="J25" s="25"/>
      <c r="K25" s="25"/>
      <c r="L25" s="25"/>
      <c r="M25" s="25"/>
      <c r="N25" s="25"/>
      <c r="O25" s="25"/>
      <c r="P25" s="25"/>
      <c r="Q25" s="25"/>
      <c r="R25" s="25"/>
      <c r="S25" s="22" t="s">
        <v>38</v>
      </c>
      <c r="T25" s="25"/>
      <c r="U25" s="26">
        <f>IF(AND('Saisie Bât neuf'!T25="RSA socle",'Saisie Bât neuf'!S25="RSA socle"),IF(('Saisie Bât neuf'!K25+'Saisie Bât neuf'!L25)&gt;5,Ressources!$I$4+Ressources!$J$4*(('Saisie Bât neuf'!K25+'Saisie Bât neuf'!L25)-5),IF(('Saisie Bât neuf'!K25+'Saisie Bât neuf'!L25)=2,Ressources!$F$4,IF(('Saisie Bât neuf'!K25+'Saisie Bât neuf'!L25)=3,Ressources!$G$4,IF(('Saisie Bât neuf'!K25+'Saisie Bât neuf'!L25)=4,Ressources!$H$4,IF(('Saisie Bât neuf'!K25+'Saisie Bât neuf'!L25)=5,Ressources!$I$4,0))))), IF(OR(AND('Saisie Bât neuf'!T25="RSA socle",'Saisie Bât neuf'!S25&lt;&gt;"RSA socle"),AND('Saisie Bât neuf'!S25="RSA socle",'Saisie Bât neuf'!T25&lt;&gt;"RSA socle")),IF(('Saisie Bât neuf'!K25+'Saisie Bât neuf'!L25)&gt;4,Ressources!$I$3+Ressources!$J$3*(('Saisie Bât neuf'!K25+'Saisie Bât neuf'!L25)-4),IF(('Saisie Bât neuf'!K25+'Saisie Bât neuf'!L25)=1,Ressources!$F$3,IF(('Saisie Bât neuf'!K25+'Saisie Bât neuf'!L25)=2,Ressources!$G$3,IF(('Saisie Bât neuf'!K25+'Saisie Bât neuf'!L25)=3,Ressources!$H$3,IF(('Saisie Bât neuf'!K25+'Saisie Bât neuf'!L25)=4,Ressources!$I$3,0))))))+IF(S25=Ressources!$A$3,Ressources!$B$3,IF(S25=Ressources!$A$5,Ressources!$B$5,IF(S25=Ressources!$A$6,Ressources!$B$6,IF(S25=Ressources!$A$7,Ressources!$B$7,IF(S25=Ressources!$A$8,Ressources!$B$8,IF(S25=Ressources!$A$9,Ressources!$B$9,IF(S25=Ressources!$A$10,Ressources!$B$10,IF(S25=Ressources!$A$11,Ressources!$B$11,0))))))))+IF(T25=Ressources!$A$3,Ressources!$B$3,IF(T25=Ressources!$A$5,Ressources!$B$5,IF(T25=Ressources!$A$6,Ressources!$B$6,IF(T25=Ressources!$A$7,Ressources!$B$7,IF(T25=Ressources!$A$8,Ressources!$B$8,IF(T25=Ressources!$A$9,Ressources!$B$9,IF(T25=Ressources!$A$10,Ressources!$B$10,IF(T25=Ressources!$A$11,Ressources!$B$11,0)))))))))</f>
        <v>0</v>
      </c>
      <c r="V25" s="26">
        <f>IF(AND(S25&lt;&gt;0,T25&lt;&gt;0),IF((K25+L25)&gt;6,Ressources!$H$12+(K25+L25-6)*Ressources!$I$12+('Saisie Bât neuf'!K25-2)*Ressources!$I$13,IF((K25+L25)=6,Ressources!$H$12+('Saisie Bât neuf'!K25-2)*Ressources!$H$13,IF((K25+L25)=5,Ressources!$G$12+('Saisie Bât neuf'!K25-2)*Ressources!$G$13,IF((K25+L25)=4,Ressources!$F$12+('Saisie Bât neuf'!K25-2)*Ressources!$F$13,0)))),IF(OR(S25=0,T25=0),IF((K25+L25)&gt;5,Ressources!$H$12+(K25+L25-5)*Ressources!$I$12+('Saisie Bât neuf'!K25-1)*Ressources!$I$13,IF((K25+L25)=5,Ressources!$H$12+('Saisie Bât neuf'!K25-1)*Ressources!$H$13,IF((K25+L25)=4,Ressources!$G$12+('Saisie Bât neuf'!K25-1)*Ressources!$G$13,IF((K25+L25)=3,Ressources!$F$12+('Saisie Bât neuf'!K25-1)*Ressources!$F$13,0))))))</f>
        <v>0</v>
      </c>
      <c r="W25" s="26"/>
      <c r="X25" s="25"/>
      <c r="AMN25" s="1"/>
    </row>
    <row r="26" spans="1:24 1028:1028" ht="30" hidden="1" customHeight="1" x14ac:dyDescent="0.25">
      <c r="A26" s="23" t="s">
        <v>53</v>
      </c>
      <c r="B26" s="24"/>
      <c r="C26" s="25"/>
      <c r="D26" s="25"/>
      <c r="E26" s="25"/>
      <c r="F26" s="25"/>
      <c r="G26" s="25"/>
      <c r="H26" s="25"/>
      <c r="I26" s="25"/>
      <c r="J26" s="25"/>
      <c r="K26" s="25"/>
      <c r="L26" s="25"/>
      <c r="M26" s="25"/>
      <c r="N26" s="25"/>
      <c r="O26" s="25"/>
      <c r="P26" s="25"/>
      <c r="Q26" s="25"/>
      <c r="R26" s="25"/>
      <c r="S26" s="22" t="s">
        <v>38</v>
      </c>
      <c r="T26" s="25"/>
      <c r="U26" s="26">
        <f>IF(AND('Saisie Bât neuf'!T26="RSA socle",'Saisie Bât neuf'!S26="RSA socle"),IF(('Saisie Bât neuf'!K26+'Saisie Bât neuf'!L26)&gt;5,Ressources!$I$4+Ressources!$J$4*(('Saisie Bât neuf'!K26+'Saisie Bât neuf'!L26)-5),IF(('Saisie Bât neuf'!K26+'Saisie Bât neuf'!L26)=2,Ressources!$F$4,IF(('Saisie Bât neuf'!K26+'Saisie Bât neuf'!L26)=3,Ressources!$G$4,IF(('Saisie Bât neuf'!K26+'Saisie Bât neuf'!L26)=4,Ressources!$H$4,IF(('Saisie Bât neuf'!K26+'Saisie Bât neuf'!L26)=5,Ressources!$I$4,0))))), IF(OR(AND('Saisie Bât neuf'!T26="RSA socle",'Saisie Bât neuf'!S26&lt;&gt;"RSA socle"),AND('Saisie Bât neuf'!S26="RSA socle",'Saisie Bât neuf'!T26&lt;&gt;"RSA socle")),IF(('Saisie Bât neuf'!K26+'Saisie Bât neuf'!L26)&gt;4,Ressources!$I$3+Ressources!$J$3*(('Saisie Bât neuf'!K26+'Saisie Bât neuf'!L26)-4),IF(('Saisie Bât neuf'!K26+'Saisie Bât neuf'!L26)=1,Ressources!$F$3,IF(('Saisie Bât neuf'!K26+'Saisie Bât neuf'!L26)=2,Ressources!$G$3,IF(('Saisie Bât neuf'!K26+'Saisie Bât neuf'!L26)=3,Ressources!$H$3,IF(('Saisie Bât neuf'!K26+'Saisie Bât neuf'!L26)=4,Ressources!$I$3,0))))))+IF(S26=Ressources!$A$3,Ressources!$B$3,IF(S26=Ressources!$A$5,Ressources!$B$5,IF(S26=Ressources!$A$6,Ressources!$B$6,IF(S26=Ressources!$A$7,Ressources!$B$7,IF(S26=Ressources!$A$8,Ressources!$B$8,IF(S26=Ressources!$A$9,Ressources!$B$9,IF(S26=Ressources!$A$10,Ressources!$B$10,IF(S26=Ressources!$A$11,Ressources!$B$11,0))))))))+IF(T26=Ressources!$A$3,Ressources!$B$3,IF(T26=Ressources!$A$5,Ressources!$B$5,IF(T26=Ressources!$A$6,Ressources!$B$6,IF(T26=Ressources!$A$7,Ressources!$B$7,IF(T26=Ressources!$A$8,Ressources!$B$8,IF(T26=Ressources!$A$9,Ressources!$B$9,IF(T26=Ressources!$A$10,Ressources!$B$10,IF(T26=Ressources!$A$11,Ressources!$B$11,0)))))))))</f>
        <v>0</v>
      </c>
      <c r="V26" s="26">
        <f>IF(AND(S26&lt;&gt;0,T26&lt;&gt;0),IF((K26+L26)&gt;6,Ressources!$H$12+(K26+L26-6)*Ressources!$I$12+('Saisie Bât neuf'!K26-2)*Ressources!$I$13,IF((K26+L26)=6,Ressources!$H$12+('Saisie Bât neuf'!K26-2)*Ressources!$H$13,IF((K26+L26)=5,Ressources!$G$12+('Saisie Bât neuf'!K26-2)*Ressources!$G$13,IF((K26+L26)=4,Ressources!$F$12+('Saisie Bât neuf'!K26-2)*Ressources!$F$13,0)))),IF(OR(S26=0,T26=0),IF((K26+L26)&gt;5,Ressources!$H$12+(K26+L26-5)*Ressources!$I$12+('Saisie Bât neuf'!K26-1)*Ressources!$I$13,IF((K26+L26)=5,Ressources!$H$12+('Saisie Bât neuf'!K26-1)*Ressources!$H$13,IF((K26+L26)=4,Ressources!$G$12+('Saisie Bât neuf'!K26-1)*Ressources!$G$13,IF((K26+L26)=3,Ressources!$F$12+('Saisie Bât neuf'!K26-1)*Ressources!$F$13,0))))))</f>
        <v>0</v>
      </c>
      <c r="W26" s="26"/>
      <c r="X26" s="25"/>
      <c r="AMN26" s="1"/>
    </row>
    <row r="27" spans="1:24 1028:1028" ht="30" hidden="1" customHeight="1" x14ac:dyDescent="0.25">
      <c r="A27" s="23" t="s">
        <v>54</v>
      </c>
      <c r="B27" s="24"/>
      <c r="C27" s="25"/>
      <c r="D27" s="25"/>
      <c r="E27" s="25"/>
      <c r="F27" s="25"/>
      <c r="G27" s="25"/>
      <c r="H27" s="25"/>
      <c r="I27" s="25"/>
      <c r="J27" s="25"/>
      <c r="K27" s="25"/>
      <c r="L27" s="25"/>
      <c r="M27" s="25"/>
      <c r="N27" s="25"/>
      <c r="O27" s="25"/>
      <c r="P27" s="25"/>
      <c r="Q27" s="25"/>
      <c r="R27" s="25"/>
      <c r="S27" s="22" t="s">
        <v>38</v>
      </c>
      <c r="T27" s="25"/>
      <c r="U27" s="26">
        <f>IF(AND('Saisie Bât neuf'!T27="RSA socle",'Saisie Bât neuf'!S27="RSA socle"),IF(('Saisie Bât neuf'!K27+'Saisie Bât neuf'!L27)&gt;5,Ressources!$I$4+Ressources!$J$4*(('Saisie Bât neuf'!K27+'Saisie Bât neuf'!L27)-5),IF(('Saisie Bât neuf'!K27+'Saisie Bât neuf'!L27)=2,Ressources!$F$4,IF(('Saisie Bât neuf'!K27+'Saisie Bât neuf'!L27)=3,Ressources!$G$4,IF(('Saisie Bât neuf'!K27+'Saisie Bât neuf'!L27)=4,Ressources!$H$4,IF(('Saisie Bât neuf'!K27+'Saisie Bât neuf'!L27)=5,Ressources!$I$4,0))))), IF(OR(AND('Saisie Bât neuf'!T27="RSA socle",'Saisie Bât neuf'!S27&lt;&gt;"RSA socle"),AND('Saisie Bât neuf'!S27="RSA socle",'Saisie Bât neuf'!T27&lt;&gt;"RSA socle")),IF(('Saisie Bât neuf'!K27+'Saisie Bât neuf'!L27)&gt;4,Ressources!$I$3+Ressources!$J$3*(('Saisie Bât neuf'!K27+'Saisie Bât neuf'!L27)-4),IF(('Saisie Bât neuf'!K27+'Saisie Bât neuf'!L27)=1,Ressources!$F$3,IF(('Saisie Bât neuf'!K27+'Saisie Bât neuf'!L27)=2,Ressources!$G$3,IF(('Saisie Bât neuf'!K27+'Saisie Bât neuf'!L27)=3,Ressources!$H$3,IF(('Saisie Bât neuf'!K27+'Saisie Bât neuf'!L27)=4,Ressources!$I$3,0))))))+IF(S27=Ressources!$A$3,Ressources!$B$3,IF(S27=Ressources!$A$5,Ressources!$B$5,IF(S27=Ressources!$A$6,Ressources!$B$6,IF(S27=Ressources!$A$7,Ressources!$B$7,IF(S27=Ressources!$A$8,Ressources!$B$8,IF(S27=Ressources!$A$9,Ressources!$B$9,IF(S27=Ressources!$A$10,Ressources!$B$10,IF(S27=Ressources!$A$11,Ressources!$B$11,0))))))))+IF(T27=Ressources!$A$3,Ressources!$B$3,IF(T27=Ressources!$A$5,Ressources!$B$5,IF(T27=Ressources!$A$6,Ressources!$B$6,IF(T27=Ressources!$A$7,Ressources!$B$7,IF(T27=Ressources!$A$8,Ressources!$B$8,IF(T27=Ressources!$A$9,Ressources!$B$9,IF(T27=Ressources!$A$10,Ressources!$B$10,IF(T27=Ressources!$A$11,Ressources!$B$11,0)))))))))</f>
        <v>0</v>
      </c>
      <c r="V27" s="26">
        <f>IF(AND(S27&lt;&gt;0,T27&lt;&gt;0),IF((K27+L27)&gt;6,Ressources!$H$12+(K27+L27-6)*Ressources!$I$12+('Saisie Bât neuf'!K27-2)*Ressources!$I$13,IF((K27+L27)=6,Ressources!$H$12+('Saisie Bât neuf'!K27-2)*Ressources!$H$13,IF((K27+L27)=5,Ressources!$G$12+('Saisie Bât neuf'!K27-2)*Ressources!$G$13,IF((K27+L27)=4,Ressources!$F$12+('Saisie Bât neuf'!K27-2)*Ressources!$F$13,0)))),IF(OR(S27=0,T27=0),IF((K27+L27)&gt;5,Ressources!$H$12+(K27+L27-5)*Ressources!$I$12+('Saisie Bât neuf'!K27-1)*Ressources!$I$13,IF((K27+L27)=5,Ressources!$H$12+('Saisie Bât neuf'!K27-1)*Ressources!$H$13,IF((K27+L27)=4,Ressources!$G$12+('Saisie Bât neuf'!K27-1)*Ressources!$G$13,IF((K27+L27)=3,Ressources!$F$12+('Saisie Bât neuf'!K27-1)*Ressources!$F$13,0))))))</f>
        <v>0</v>
      </c>
      <c r="W27" s="26"/>
      <c r="X27" s="25"/>
      <c r="AMN27" s="1"/>
    </row>
    <row r="28" spans="1:24 1028:1028" ht="30" hidden="1" customHeight="1" x14ac:dyDescent="0.25">
      <c r="A28" s="23" t="s">
        <v>55</v>
      </c>
      <c r="B28" s="24"/>
      <c r="C28" s="25"/>
      <c r="D28" s="25"/>
      <c r="E28" s="25"/>
      <c r="F28" s="25"/>
      <c r="G28" s="25"/>
      <c r="H28" s="25"/>
      <c r="I28" s="25"/>
      <c r="J28" s="25"/>
      <c r="K28" s="25"/>
      <c r="L28" s="25"/>
      <c r="M28" s="25"/>
      <c r="N28" s="25"/>
      <c r="O28" s="25"/>
      <c r="P28" s="25"/>
      <c r="Q28" s="25"/>
      <c r="R28" s="25"/>
      <c r="S28" s="22" t="s">
        <v>38</v>
      </c>
      <c r="T28" s="25"/>
      <c r="U28" s="26">
        <f>IF(AND('Saisie Bât neuf'!T28="RSA socle",'Saisie Bât neuf'!S28="RSA socle"),IF(('Saisie Bât neuf'!K28+'Saisie Bât neuf'!L28)&gt;5,Ressources!$I$4+Ressources!$J$4*(('Saisie Bât neuf'!K28+'Saisie Bât neuf'!L28)-5),IF(('Saisie Bât neuf'!K28+'Saisie Bât neuf'!L28)=2,Ressources!$F$4,IF(('Saisie Bât neuf'!K28+'Saisie Bât neuf'!L28)=3,Ressources!$G$4,IF(('Saisie Bât neuf'!K28+'Saisie Bât neuf'!L28)=4,Ressources!$H$4,IF(('Saisie Bât neuf'!K28+'Saisie Bât neuf'!L28)=5,Ressources!$I$4,0))))), IF(OR(AND('Saisie Bât neuf'!T28="RSA socle",'Saisie Bât neuf'!S28&lt;&gt;"RSA socle"),AND('Saisie Bât neuf'!S28="RSA socle",'Saisie Bât neuf'!T28&lt;&gt;"RSA socle")),IF(('Saisie Bât neuf'!K28+'Saisie Bât neuf'!L28)&gt;4,Ressources!$I$3+Ressources!$J$3*(('Saisie Bât neuf'!K28+'Saisie Bât neuf'!L28)-4),IF(('Saisie Bât neuf'!K28+'Saisie Bât neuf'!L28)=1,Ressources!$F$3,IF(('Saisie Bât neuf'!K28+'Saisie Bât neuf'!L28)=2,Ressources!$G$3,IF(('Saisie Bât neuf'!K28+'Saisie Bât neuf'!L28)=3,Ressources!$H$3,IF(('Saisie Bât neuf'!K28+'Saisie Bât neuf'!L28)=4,Ressources!$I$3,0))))))+IF(S28=Ressources!$A$3,Ressources!$B$3,IF(S28=Ressources!$A$5,Ressources!$B$5,IF(S28=Ressources!$A$6,Ressources!$B$6,IF(S28=Ressources!$A$7,Ressources!$B$7,IF(S28=Ressources!$A$8,Ressources!$B$8,IF(S28=Ressources!$A$9,Ressources!$B$9,IF(S28=Ressources!$A$10,Ressources!$B$10,IF(S28=Ressources!$A$11,Ressources!$B$11,0))))))))+IF(T28=Ressources!$A$3,Ressources!$B$3,IF(T28=Ressources!$A$5,Ressources!$B$5,IF(T28=Ressources!$A$6,Ressources!$B$6,IF(T28=Ressources!$A$7,Ressources!$B$7,IF(T28=Ressources!$A$8,Ressources!$B$8,IF(T28=Ressources!$A$9,Ressources!$B$9,IF(T28=Ressources!$A$10,Ressources!$B$10,IF(T28=Ressources!$A$11,Ressources!$B$11,0)))))))))</f>
        <v>0</v>
      </c>
      <c r="V28" s="26">
        <f>IF(AND(S28&lt;&gt;0,T28&lt;&gt;0),IF((K28+L28)&gt;6,Ressources!$H$12+(K28+L28-6)*Ressources!$I$12+('Saisie Bât neuf'!K28-2)*Ressources!$I$13,IF((K28+L28)=6,Ressources!$H$12+('Saisie Bât neuf'!K28-2)*Ressources!$H$13,IF((K28+L28)=5,Ressources!$G$12+('Saisie Bât neuf'!K28-2)*Ressources!$G$13,IF((K28+L28)=4,Ressources!$F$12+('Saisie Bât neuf'!K28-2)*Ressources!$F$13,0)))),IF(OR(S28=0,T28=0),IF((K28+L28)&gt;5,Ressources!$H$12+(K28+L28-5)*Ressources!$I$12+('Saisie Bât neuf'!K28-1)*Ressources!$I$13,IF((K28+L28)=5,Ressources!$H$12+('Saisie Bât neuf'!K28-1)*Ressources!$H$13,IF((K28+L28)=4,Ressources!$G$12+('Saisie Bât neuf'!K28-1)*Ressources!$G$13,IF((K28+L28)=3,Ressources!$F$12+('Saisie Bât neuf'!K28-1)*Ressources!$F$13,0))))))</f>
        <v>0</v>
      </c>
      <c r="W28" s="26"/>
      <c r="X28" s="25"/>
      <c r="AMN28" s="1"/>
    </row>
    <row r="29" spans="1:24 1028:1028" ht="30" hidden="1" customHeight="1" x14ac:dyDescent="0.25">
      <c r="A29" s="23" t="s">
        <v>56</v>
      </c>
      <c r="B29" s="24"/>
      <c r="C29" s="25"/>
      <c r="D29" s="25"/>
      <c r="E29" s="25"/>
      <c r="F29" s="25"/>
      <c r="G29" s="25"/>
      <c r="H29" s="25"/>
      <c r="I29" s="25"/>
      <c r="J29" s="25"/>
      <c r="K29" s="25"/>
      <c r="L29" s="25"/>
      <c r="M29" s="25"/>
      <c r="N29" s="25"/>
      <c r="O29" s="25"/>
      <c r="P29" s="25"/>
      <c r="Q29" s="25"/>
      <c r="R29" s="25"/>
      <c r="S29" s="22" t="s">
        <v>38</v>
      </c>
      <c r="T29" s="25"/>
      <c r="U29" s="26">
        <f>IF(AND('Saisie Bât neuf'!T29="RSA socle",'Saisie Bât neuf'!S29="RSA socle"),IF(('Saisie Bât neuf'!K29+'Saisie Bât neuf'!L29)&gt;5,Ressources!$I$4+Ressources!$J$4*(('Saisie Bât neuf'!K29+'Saisie Bât neuf'!L29)-5),IF(('Saisie Bât neuf'!K29+'Saisie Bât neuf'!L29)=2,Ressources!$F$4,IF(('Saisie Bât neuf'!K29+'Saisie Bât neuf'!L29)=3,Ressources!$G$4,IF(('Saisie Bât neuf'!K29+'Saisie Bât neuf'!L29)=4,Ressources!$H$4,IF(('Saisie Bât neuf'!K29+'Saisie Bât neuf'!L29)=5,Ressources!$I$4,0))))), IF(OR(AND('Saisie Bât neuf'!T29="RSA socle",'Saisie Bât neuf'!S29&lt;&gt;"RSA socle"),AND('Saisie Bât neuf'!S29="RSA socle",'Saisie Bât neuf'!T29&lt;&gt;"RSA socle")),IF(('Saisie Bât neuf'!K29+'Saisie Bât neuf'!L29)&gt;4,Ressources!$I$3+Ressources!$J$3*(('Saisie Bât neuf'!K29+'Saisie Bât neuf'!L29)-4),IF(('Saisie Bât neuf'!K29+'Saisie Bât neuf'!L29)=1,Ressources!$F$3,IF(('Saisie Bât neuf'!K29+'Saisie Bât neuf'!L29)=2,Ressources!$G$3,IF(('Saisie Bât neuf'!K29+'Saisie Bât neuf'!L29)=3,Ressources!$H$3,IF(('Saisie Bât neuf'!K29+'Saisie Bât neuf'!L29)=4,Ressources!$I$3,0))))))+IF(S29=Ressources!$A$3,Ressources!$B$3,IF(S29=Ressources!$A$5,Ressources!$B$5,IF(S29=Ressources!$A$6,Ressources!$B$6,IF(S29=Ressources!$A$7,Ressources!$B$7,IF(S29=Ressources!$A$8,Ressources!$B$8,IF(S29=Ressources!$A$9,Ressources!$B$9,IF(S29=Ressources!$A$10,Ressources!$B$10,IF(S29=Ressources!$A$11,Ressources!$B$11,0))))))))+IF(T29=Ressources!$A$3,Ressources!$B$3,IF(T29=Ressources!$A$5,Ressources!$B$5,IF(T29=Ressources!$A$6,Ressources!$B$6,IF(T29=Ressources!$A$7,Ressources!$B$7,IF(T29=Ressources!$A$8,Ressources!$B$8,IF(T29=Ressources!$A$9,Ressources!$B$9,IF(T29=Ressources!$A$10,Ressources!$B$10,IF(T29=Ressources!$A$11,Ressources!$B$11,0)))))))))</f>
        <v>0</v>
      </c>
      <c r="V29" s="26">
        <f>IF(AND(S29&lt;&gt;0,T29&lt;&gt;0),IF((K29+L29)&gt;6,Ressources!$H$12+(K29+L29-6)*Ressources!$I$12+('Saisie Bât neuf'!K29-2)*Ressources!$I$13,IF((K29+L29)=6,Ressources!$H$12+('Saisie Bât neuf'!K29-2)*Ressources!$H$13,IF((K29+L29)=5,Ressources!$G$12+('Saisie Bât neuf'!K29-2)*Ressources!$G$13,IF((K29+L29)=4,Ressources!$F$12+('Saisie Bât neuf'!K29-2)*Ressources!$F$13,0)))),IF(OR(S29=0,T29=0),IF((K29+L29)&gt;5,Ressources!$H$12+(K29+L29-5)*Ressources!$I$12+('Saisie Bât neuf'!K29-1)*Ressources!$I$13,IF((K29+L29)=5,Ressources!$H$12+('Saisie Bât neuf'!K29-1)*Ressources!$H$13,IF((K29+L29)=4,Ressources!$G$12+('Saisie Bât neuf'!K29-1)*Ressources!$G$13,IF((K29+L29)=3,Ressources!$F$12+('Saisie Bât neuf'!K29-1)*Ressources!$F$13,0))))))</f>
        <v>0</v>
      </c>
      <c r="W29" s="26"/>
      <c r="X29" s="25"/>
      <c r="AMN29" s="1"/>
    </row>
    <row r="30" spans="1:24 1028:1028" ht="30" hidden="1" customHeight="1" x14ac:dyDescent="0.25">
      <c r="A30" s="23" t="s">
        <v>57</v>
      </c>
      <c r="B30" s="24"/>
      <c r="C30" s="25"/>
      <c r="D30" s="25"/>
      <c r="E30" s="25"/>
      <c r="F30" s="25"/>
      <c r="G30" s="25"/>
      <c r="H30" s="25"/>
      <c r="I30" s="25"/>
      <c r="J30" s="25"/>
      <c r="K30" s="25"/>
      <c r="L30" s="25"/>
      <c r="M30" s="25"/>
      <c r="N30" s="25"/>
      <c r="O30" s="25"/>
      <c r="P30" s="25"/>
      <c r="Q30" s="25"/>
      <c r="R30" s="25"/>
      <c r="S30" s="22" t="s">
        <v>38</v>
      </c>
      <c r="T30" s="25"/>
      <c r="U30" s="26">
        <f>IF(AND('Saisie Bât neuf'!T30="RSA socle",'Saisie Bât neuf'!S30="RSA socle"),IF(('Saisie Bât neuf'!K30+'Saisie Bât neuf'!L30)&gt;5,Ressources!$I$4+Ressources!$J$4*(('Saisie Bât neuf'!K30+'Saisie Bât neuf'!L30)-5),IF(('Saisie Bât neuf'!K30+'Saisie Bât neuf'!L30)=2,Ressources!$F$4,IF(('Saisie Bât neuf'!K30+'Saisie Bât neuf'!L30)=3,Ressources!$G$4,IF(('Saisie Bât neuf'!K30+'Saisie Bât neuf'!L30)=4,Ressources!$H$4,IF(('Saisie Bât neuf'!K30+'Saisie Bât neuf'!L30)=5,Ressources!$I$4,0))))), IF(OR(AND('Saisie Bât neuf'!T30="RSA socle",'Saisie Bât neuf'!S30&lt;&gt;"RSA socle"),AND('Saisie Bât neuf'!S30="RSA socle",'Saisie Bât neuf'!T30&lt;&gt;"RSA socle")),IF(('Saisie Bât neuf'!K30+'Saisie Bât neuf'!L30)&gt;4,Ressources!$I$3+Ressources!$J$3*(('Saisie Bât neuf'!K30+'Saisie Bât neuf'!L30)-4),IF(('Saisie Bât neuf'!K30+'Saisie Bât neuf'!L30)=1,Ressources!$F$3,IF(('Saisie Bât neuf'!K30+'Saisie Bât neuf'!L30)=2,Ressources!$G$3,IF(('Saisie Bât neuf'!K30+'Saisie Bât neuf'!L30)=3,Ressources!$H$3,IF(('Saisie Bât neuf'!K30+'Saisie Bât neuf'!L30)=4,Ressources!$I$3,0))))))+IF(S30=Ressources!$A$3,Ressources!$B$3,IF(S30=Ressources!$A$5,Ressources!$B$5,IF(S30=Ressources!$A$6,Ressources!$B$6,IF(S30=Ressources!$A$7,Ressources!$B$7,IF(S30=Ressources!$A$8,Ressources!$B$8,IF(S30=Ressources!$A$9,Ressources!$B$9,IF(S30=Ressources!$A$10,Ressources!$B$10,IF(S30=Ressources!$A$11,Ressources!$B$11,0))))))))+IF(T30=Ressources!$A$3,Ressources!$B$3,IF(T30=Ressources!$A$5,Ressources!$B$5,IF(T30=Ressources!$A$6,Ressources!$B$6,IF(T30=Ressources!$A$7,Ressources!$B$7,IF(T30=Ressources!$A$8,Ressources!$B$8,IF(T30=Ressources!$A$9,Ressources!$B$9,IF(T30=Ressources!$A$10,Ressources!$B$10,IF(T30=Ressources!$A$11,Ressources!$B$11,0)))))))))</f>
        <v>0</v>
      </c>
      <c r="V30" s="26">
        <f>IF(AND(S30&lt;&gt;0,T30&lt;&gt;0),IF((K30+L30)&gt;6,Ressources!$H$12+(K30+L30-6)*Ressources!$I$12+('Saisie Bât neuf'!K30-2)*Ressources!$I$13,IF((K30+L30)=6,Ressources!$H$12+('Saisie Bât neuf'!K30-2)*Ressources!$H$13,IF((K30+L30)=5,Ressources!$G$12+('Saisie Bât neuf'!K30-2)*Ressources!$G$13,IF((K30+L30)=4,Ressources!$F$12+('Saisie Bât neuf'!K30-2)*Ressources!$F$13,0)))),IF(OR(S30=0,T30=0),IF((K30+L30)&gt;5,Ressources!$H$12+(K30+L30-5)*Ressources!$I$12+('Saisie Bât neuf'!K30-1)*Ressources!$I$13,IF((K30+L30)=5,Ressources!$H$12+('Saisie Bât neuf'!K30-1)*Ressources!$H$13,IF((K30+L30)=4,Ressources!$G$12+('Saisie Bât neuf'!K30-1)*Ressources!$G$13,IF((K30+L30)=3,Ressources!$F$12+('Saisie Bât neuf'!K30-1)*Ressources!$F$13,0))))))</f>
        <v>0</v>
      </c>
      <c r="W30" s="26"/>
      <c r="X30" s="25"/>
      <c r="AMN30" s="1"/>
    </row>
    <row r="31" spans="1:24 1028:1028" ht="30" hidden="1" customHeight="1" x14ac:dyDescent="0.25">
      <c r="A31" s="23" t="s">
        <v>58</v>
      </c>
      <c r="B31" s="24"/>
      <c r="C31" s="25"/>
      <c r="D31" s="25"/>
      <c r="E31" s="25"/>
      <c r="F31" s="25"/>
      <c r="G31" s="25"/>
      <c r="H31" s="25"/>
      <c r="I31" s="25"/>
      <c r="J31" s="25"/>
      <c r="K31" s="25"/>
      <c r="L31" s="25"/>
      <c r="M31" s="25"/>
      <c r="N31" s="25"/>
      <c r="O31" s="25"/>
      <c r="P31" s="25"/>
      <c r="Q31" s="25"/>
      <c r="R31" s="25"/>
      <c r="S31" s="22" t="s">
        <v>38</v>
      </c>
      <c r="T31" s="25"/>
      <c r="U31" s="26">
        <f>IF(AND('Saisie Bât neuf'!T31="RSA socle",'Saisie Bât neuf'!S31="RSA socle"),IF(('Saisie Bât neuf'!K31+'Saisie Bât neuf'!L31)&gt;5,Ressources!$I$4+Ressources!$J$4*(('Saisie Bât neuf'!K31+'Saisie Bât neuf'!L31)-5),IF(('Saisie Bât neuf'!K31+'Saisie Bât neuf'!L31)=2,Ressources!$F$4,IF(('Saisie Bât neuf'!K31+'Saisie Bât neuf'!L31)=3,Ressources!$G$4,IF(('Saisie Bât neuf'!K31+'Saisie Bât neuf'!L31)=4,Ressources!$H$4,IF(('Saisie Bât neuf'!K31+'Saisie Bât neuf'!L31)=5,Ressources!$I$4,0))))), IF(OR(AND('Saisie Bât neuf'!T31="RSA socle",'Saisie Bât neuf'!S31&lt;&gt;"RSA socle"),AND('Saisie Bât neuf'!S31="RSA socle",'Saisie Bât neuf'!T31&lt;&gt;"RSA socle")),IF(('Saisie Bât neuf'!K31+'Saisie Bât neuf'!L31)&gt;4,Ressources!$I$3+Ressources!$J$3*(('Saisie Bât neuf'!K31+'Saisie Bât neuf'!L31)-4),IF(('Saisie Bât neuf'!K31+'Saisie Bât neuf'!L31)=1,Ressources!$F$3,IF(('Saisie Bât neuf'!K31+'Saisie Bât neuf'!L31)=2,Ressources!$G$3,IF(('Saisie Bât neuf'!K31+'Saisie Bât neuf'!L31)=3,Ressources!$H$3,IF(('Saisie Bât neuf'!K31+'Saisie Bât neuf'!L31)=4,Ressources!$I$3,0))))))+IF(S31=Ressources!$A$3,Ressources!$B$3,IF(S31=Ressources!$A$5,Ressources!$B$5,IF(S31=Ressources!$A$6,Ressources!$B$6,IF(S31=Ressources!$A$7,Ressources!$B$7,IF(S31=Ressources!$A$8,Ressources!$B$8,IF(S31=Ressources!$A$9,Ressources!$B$9,IF(S31=Ressources!$A$10,Ressources!$B$10,IF(S31=Ressources!$A$11,Ressources!$B$11,0))))))))+IF(T31=Ressources!$A$3,Ressources!$B$3,IF(T31=Ressources!$A$5,Ressources!$B$5,IF(T31=Ressources!$A$6,Ressources!$B$6,IF(T31=Ressources!$A$7,Ressources!$B$7,IF(T31=Ressources!$A$8,Ressources!$B$8,IF(T31=Ressources!$A$9,Ressources!$B$9,IF(T31=Ressources!$A$10,Ressources!$B$10,IF(T31=Ressources!$A$11,Ressources!$B$11,0)))))))))</f>
        <v>0</v>
      </c>
      <c r="V31" s="26">
        <f>IF(AND(S31&lt;&gt;0,T31&lt;&gt;0),IF((K31+L31)&gt;6,Ressources!$H$12+(K31+L31-6)*Ressources!$I$12+('Saisie Bât neuf'!K31-2)*Ressources!$I$13,IF((K31+L31)=6,Ressources!$H$12+('Saisie Bât neuf'!K31-2)*Ressources!$H$13,IF((K31+L31)=5,Ressources!$G$12+('Saisie Bât neuf'!K31-2)*Ressources!$G$13,IF((K31+L31)=4,Ressources!$F$12+('Saisie Bât neuf'!K31-2)*Ressources!$F$13,0)))),IF(OR(S31=0,T31=0),IF((K31+L31)&gt;5,Ressources!$H$12+(K31+L31-5)*Ressources!$I$12+('Saisie Bât neuf'!K31-1)*Ressources!$I$13,IF((K31+L31)=5,Ressources!$H$12+('Saisie Bât neuf'!K31-1)*Ressources!$H$13,IF((K31+L31)=4,Ressources!$G$12+('Saisie Bât neuf'!K31-1)*Ressources!$G$13,IF((K31+L31)=3,Ressources!$F$12+('Saisie Bât neuf'!K31-1)*Ressources!$F$13,0))))))</f>
        <v>0</v>
      </c>
      <c r="W31" s="26"/>
      <c r="X31" s="25"/>
      <c r="AMN31" s="1"/>
    </row>
    <row r="32" spans="1:24 1028:1028" ht="30" hidden="1" customHeight="1" x14ac:dyDescent="0.25">
      <c r="A32" s="23" t="s">
        <v>59</v>
      </c>
      <c r="B32" s="24"/>
      <c r="C32" s="25"/>
      <c r="D32" s="25"/>
      <c r="E32" s="25"/>
      <c r="F32" s="25"/>
      <c r="G32" s="25"/>
      <c r="H32" s="25"/>
      <c r="I32" s="25"/>
      <c r="J32" s="25"/>
      <c r="K32" s="25"/>
      <c r="L32" s="25"/>
      <c r="M32" s="25"/>
      <c r="N32" s="25"/>
      <c r="O32" s="25"/>
      <c r="P32" s="25"/>
      <c r="Q32" s="25"/>
      <c r="R32" s="25"/>
      <c r="S32" s="22" t="s">
        <v>38</v>
      </c>
      <c r="T32" s="25"/>
      <c r="U32" s="26">
        <f>IF(AND('Saisie Bât neuf'!T32="RSA socle",'Saisie Bât neuf'!S32="RSA socle"),IF(('Saisie Bât neuf'!K32+'Saisie Bât neuf'!L32)&gt;5,Ressources!$I$4+Ressources!$J$4*(('Saisie Bât neuf'!K32+'Saisie Bât neuf'!L32)-5),IF(('Saisie Bât neuf'!K32+'Saisie Bât neuf'!L32)=2,Ressources!$F$4,IF(('Saisie Bât neuf'!K32+'Saisie Bât neuf'!L32)=3,Ressources!$G$4,IF(('Saisie Bât neuf'!K32+'Saisie Bât neuf'!L32)=4,Ressources!$H$4,IF(('Saisie Bât neuf'!K32+'Saisie Bât neuf'!L32)=5,Ressources!$I$4,0))))), IF(OR(AND('Saisie Bât neuf'!T32="RSA socle",'Saisie Bât neuf'!S32&lt;&gt;"RSA socle"),AND('Saisie Bât neuf'!S32="RSA socle",'Saisie Bât neuf'!T32&lt;&gt;"RSA socle")),IF(('Saisie Bât neuf'!K32+'Saisie Bât neuf'!L32)&gt;4,Ressources!$I$3+Ressources!$J$3*(('Saisie Bât neuf'!K32+'Saisie Bât neuf'!L32)-4),IF(('Saisie Bât neuf'!K32+'Saisie Bât neuf'!L32)=1,Ressources!$F$3,IF(('Saisie Bât neuf'!K32+'Saisie Bât neuf'!L32)=2,Ressources!$G$3,IF(('Saisie Bât neuf'!K32+'Saisie Bât neuf'!L32)=3,Ressources!$H$3,IF(('Saisie Bât neuf'!K32+'Saisie Bât neuf'!L32)=4,Ressources!$I$3,0))))))+IF(S32=Ressources!$A$3,Ressources!$B$3,IF(S32=Ressources!$A$5,Ressources!$B$5,IF(S32=Ressources!$A$6,Ressources!$B$6,IF(S32=Ressources!$A$7,Ressources!$B$7,IF(S32=Ressources!$A$8,Ressources!$B$8,IF(S32=Ressources!$A$9,Ressources!$B$9,IF(S32=Ressources!$A$10,Ressources!$B$10,IF(S32=Ressources!$A$11,Ressources!$B$11,0))))))))+IF(T32=Ressources!$A$3,Ressources!$B$3,IF(T32=Ressources!$A$5,Ressources!$B$5,IF(T32=Ressources!$A$6,Ressources!$B$6,IF(T32=Ressources!$A$7,Ressources!$B$7,IF(T32=Ressources!$A$8,Ressources!$B$8,IF(T32=Ressources!$A$9,Ressources!$B$9,IF(T32=Ressources!$A$10,Ressources!$B$10,IF(T32=Ressources!$A$11,Ressources!$B$11,0)))))))))</f>
        <v>0</v>
      </c>
      <c r="V32" s="26">
        <f>IF(AND(S32&lt;&gt;0,T32&lt;&gt;0),IF((K32+L32)&gt;6,Ressources!$H$12+(K32+L32-6)*Ressources!$I$12+('Saisie Bât neuf'!K32-2)*Ressources!$I$13,IF((K32+L32)=6,Ressources!$H$12+('Saisie Bât neuf'!K32-2)*Ressources!$H$13,IF((K32+L32)=5,Ressources!$G$12+('Saisie Bât neuf'!K32-2)*Ressources!$G$13,IF((K32+L32)=4,Ressources!$F$12+('Saisie Bât neuf'!K32-2)*Ressources!$F$13,0)))),IF(OR(S32=0,T32=0),IF((K32+L32)&gt;5,Ressources!$H$12+(K32+L32-5)*Ressources!$I$12+('Saisie Bât neuf'!K32-1)*Ressources!$I$13,IF((K32+L32)=5,Ressources!$H$12+('Saisie Bât neuf'!K32-1)*Ressources!$H$13,IF((K32+L32)=4,Ressources!$G$12+('Saisie Bât neuf'!K32-1)*Ressources!$G$13,IF((K32+L32)=3,Ressources!$F$12+('Saisie Bât neuf'!K32-1)*Ressources!$F$13,0))))))</f>
        <v>0</v>
      </c>
      <c r="W32" s="26"/>
      <c r="X32" s="25"/>
      <c r="AMN32" s="1"/>
    </row>
    <row r="33" spans="1:24 1028:1028" ht="30" hidden="1" customHeight="1" x14ac:dyDescent="0.25">
      <c r="A33" s="23" t="s">
        <v>60</v>
      </c>
      <c r="B33" s="24"/>
      <c r="C33" s="25"/>
      <c r="D33" s="25"/>
      <c r="E33" s="25"/>
      <c r="F33" s="25"/>
      <c r="G33" s="25"/>
      <c r="H33" s="25"/>
      <c r="I33" s="25"/>
      <c r="J33" s="25"/>
      <c r="K33" s="25"/>
      <c r="L33" s="25"/>
      <c r="M33" s="25"/>
      <c r="N33" s="25"/>
      <c r="O33" s="25"/>
      <c r="P33" s="25"/>
      <c r="Q33" s="25"/>
      <c r="R33" s="25"/>
      <c r="S33" s="22" t="s">
        <v>38</v>
      </c>
      <c r="T33" s="25"/>
      <c r="U33" s="26">
        <f>IF(AND('Saisie Bât neuf'!T33="RSA socle",'Saisie Bât neuf'!S33="RSA socle"),IF(('Saisie Bât neuf'!K33+'Saisie Bât neuf'!L33)&gt;5,Ressources!$I$4+Ressources!$J$4*(('Saisie Bât neuf'!K33+'Saisie Bât neuf'!L33)-5),IF(('Saisie Bât neuf'!K33+'Saisie Bât neuf'!L33)=2,Ressources!$F$4,IF(('Saisie Bât neuf'!K33+'Saisie Bât neuf'!L33)=3,Ressources!$G$4,IF(('Saisie Bât neuf'!K33+'Saisie Bât neuf'!L33)=4,Ressources!$H$4,IF(('Saisie Bât neuf'!K33+'Saisie Bât neuf'!L33)=5,Ressources!$I$4,0))))), IF(OR(AND('Saisie Bât neuf'!T33="RSA socle",'Saisie Bât neuf'!S33&lt;&gt;"RSA socle"),AND('Saisie Bât neuf'!S33="RSA socle",'Saisie Bât neuf'!T33&lt;&gt;"RSA socle")),IF(('Saisie Bât neuf'!K33+'Saisie Bât neuf'!L33)&gt;4,Ressources!$I$3+Ressources!$J$3*(('Saisie Bât neuf'!K33+'Saisie Bât neuf'!L33)-4),IF(('Saisie Bât neuf'!K33+'Saisie Bât neuf'!L33)=1,Ressources!$F$3,IF(('Saisie Bât neuf'!K33+'Saisie Bât neuf'!L33)=2,Ressources!$G$3,IF(('Saisie Bât neuf'!K33+'Saisie Bât neuf'!L33)=3,Ressources!$H$3,IF(('Saisie Bât neuf'!K33+'Saisie Bât neuf'!L33)=4,Ressources!$I$3,0))))))+IF(S33=Ressources!$A$3,Ressources!$B$3,IF(S33=Ressources!$A$5,Ressources!$B$5,IF(S33=Ressources!$A$6,Ressources!$B$6,IF(S33=Ressources!$A$7,Ressources!$B$7,IF(S33=Ressources!$A$8,Ressources!$B$8,IF(S33=Ressources!$A$9,Ressources!$B$9,IF(S33=Ressources!$A$10,Ressources!$B$10,IF(S33=Ressources!$A$11,Ressources!$B$11,0))))))))+IF(T33=Ressources!$A$3,Ressources!$B$3,IF(T33=Ressources!$A$5,Ressources!$B$5,IF(T33=Ressources!$A$6,Ressources!$B$6,IF(T33=Ressources!$A$7,Ressources!$B$7,IF(T33=Ressources!$A$8,Ressources!$B$8,IF(T33=Ressources!$A$9,Ressources!$B$9,IF(T33=Ressources!$A$10,Ressources!$B$10,IF(T33=Ressources!$A$11,Ressources!$B$11,0)))))))))</f>
        <v>0</v>
      </c>
      <c r="V33" s="26">
        <f>IF(AND(S33&lt;&gt;0,T33&lt;&gt;0),IF((K33+L33)&gt;6,Ressources!$H$12+(K33+L33-6)*Ressources!$I$12+('Saisie Bât neuf'!K33-2)*Ressources!$I$13,IF((K33+L33)=6,Ressources!$H$12+('Saisie Bât neuf'!K33-2)*Ressources!$H$13,IF((K33+L33)=5,Ressources!$G$12+('Saisie Bât neuf'!K33-2)*Ressources!$G$13,IF((K33+L33)=4,Ressources!$F$12+('Saisie Bât neuf'!K33-2)*Ressources!$F$13,0)))),IF(OR(S33=0,T33=0),IF((K33+L33)&gt;5,Ressources!$H$12+(K33+L33-5)*Ressources!$I$12+('Saisie Bât neuf'!K33-1)*Ressources!$I$13,IF((K33+L33)=5,Ressources!$H$12+('Saisie Bât neuf'!K33-1)*Ressources!$H$13,IF((K33+L33)=4,Ressources!$G$12+('Saisie Bât neuf'!K33-1)*Ressources!$G$13,IF((K33+L33)=3,Ressources!$F$12+('Saisie Bât neuf'!K33-1)*Ressources!$F$13,0))))))</f>
        <v>0</v>
      </c>
      <c r="W33" s="26"/>
      <c r="X33" s="25"/>
      <c r="AMN33" s="1"/>
    </row>
    <row r="34" spans="1:24 1028:1028" ht="30" hidden="1" customHeight="1" x14ac:dyDescent="0.25">
      <c r="A34" s="23" t="s">
        <v>61</v>
      </c>
      <c r="B34" s="24"/>
      <c r="C34" s="25"/>
      <c r="D34" s="25"/>
      <c r="E34" s="25"/>
      <c r="F34" s="25"/>
      <c r="G34" s="25"/>
      <c r="H34" s="25"/>
      <c r="I34" s="25"/>
      <c r="J34" s="25"/>
      <c r="K34" s="25"/>
      <c r="L34" s="25"/>
      <c r="M34" s="25"/>
      <c r="N34" s="25"/>
      <c r="O34" s="25"/>
      <c r="P34" s="25"/>
      <c r="Q34" s="25"/>
      <c r="R34" s="25"/>
      <c r="S34" s="22" t="s">
        <v>38</v>
      </c>
      <c r="T34" s="25"/>
      <c r="U34" s="26">
        <f>IF(AND('Saisie Bât neuf'!T34="RSA socle",'Saisie Bât neuf'!S34="RSA socle"),IF(('Saisie Bât neuf'!K34+'Saisie Bât neuf'!L34)&gt;5,Ressources!$I$4+Ressources!$J$4*(('Saisie Bât neuf'!K34+'Saisie Bât neuf'!L34)-5),IF(('Saisie Bât neuf'!K34+'Saisie Bât neuf'!L34)=2,Ressources!$F$4,IF(('Saisie Bât neuf'!K34+'Saisie Bât neuf'!L34)=3,Ressources!$G$4,IF(('Saisie Bât neuf'!K34+'Saisie Bât neuf'!L34)=4,Ressources!$H$4,IF(('Saisie Bât neuf'!K34+'Saisie Bât neuf'!L34)=5,Ressources!$I$4,0))))), IF(OR(AND('Saisie Bât neuf'!T34="RSA socle",'Saisie Bât neuf'!S34&lt;&gt;"RSA socle"),AND('Saisie Bât neuf'!S34="RSA socle",'Saisie Bât neuf'!T34&lt;&gt;"RSA socle")),IF(('Saisie Bât neuf'!K34+'Saisie Bât neuf'!L34)&gt;4,Ressources!$I$3+Ressources!$J$3*(('Saisie Bât neuf'!K34+'Saisie Bât neuf'!L34)-4),IF(('Saisie Bât neuf'!K34+'Saisie Bât neuf'!L34)=1,Ressources!$F$3,IF(('Saisie Bât neuf'!K34+'Saisie Bât neuf'!L34)=2,Ressources!$G$3,IF(('Saisie Bât neuf'!K34+'Saisie Bât neuf'!L34)=3,Ressources!$H$3,IF(('Saisie Bât neuf'!K34+'Saisie Bât neuf'!L34)=4,Ressources!$I$3,0))))))+IF(S34=Ressources!$A$3,Ressources!$B$3,IF(S34=Ressources!$A$5,Ressources!$B$5,IF(S34=Ressources!$A$6,Ressources!$B$6,IF(S34=Ressources!$A$7,Ressources!$B$7,IF(S34=Ressources!$A$8,Ressources!$B$8,IF(S34=Ressources!$A$9,Ressources!$B$9,IF(S34=Ressources!$A$10,Ressources!$B$10,IF(S34=Ressources!$A$11,Ressources!$B$11,0))))))))+IF(T34=Ressources!$A$3,Ressources!$B$3,IF(T34=Ressources!$A$5,Ressources!$B$5,IF(T34=Ressources!$A$6,Ressources!$B$6,IF(T34=Ressources!$A$7,Ressources!$B$7,IF(T34=Ressources!$A$8,Ressources!$B$8,IF(T34=Ressources!$A$9,Ressources!$B$9,IF(T34=Ressources!$A$10,Ressources!$B$10,IF(T34=Ressources!$A$11,Ressources!$B$11,0)))))))))</f>
        <v>0</v>
      </c>
      <c r="V34" s="26">
        <f>IF(AND(S34&lt;&gt;0,T34&lt;&gt;0),IF((K34+L34)&gt;6,Ressources!$H$12+(K34+L34-6)*Ressources!$I$12+('Saisie Bât neuf'!K34-2)*Ressources!$I$13,IF((K34+L34)=6,Ressources!$H$12+('Saisie Bât neuf'!K34-2)*Ressources!$H$13,IF((K34+L34)=5,Ressources!$G$12+('Saisie Bât neuf'!K34-2)*Ressources!$G$13,IF((K34+L34)=4,Ressources!$F$12+('Saisie Bât neuf'!K34-2)*Ressources!$F$13,0)))),IF(OR(S34=0,T34=0),IF((K34+L34)&gt;5,Ressources!$H$12+(K34+L34-5)*Ressources!$I$12+('Saisie Bât neuf'!K34-1)*Ressources!$I$13,IF((K34+L34)=5,Ressources!$H$12+('Saisie Bât neuf'!K34-1)*Ressources!$H$13,IF((K34+L34)=4,Ressources!$G$12+('Saisie Bât neuf'!K34-1)*Ressources!$G$13,IF((K34+L34)=3,Ressources!$F$12+('Saisie Bât neuf'!K34-1)*Ressources!$F$13,0))))))</f>
        <v>0</v>
      </c>
      <c r="W34" s="26"/>
      <c r="X34" s="25"/>
      <c r="AMN34" s="1"/>
    </row>
    <row r="35" spans="1:24 1028:1028" ht="30" hidden="1" customHeight="1" x14ac:dyDescent="0.25">
      <c r="A35" s="23" t="s">
        <v>62</v>
      </c>
      <c r="B35" s="24"/>
      <c r="C35" s="25"/>
      <c r="D35" s="25"/>
      <c r="E35" s="25"/>
      <c r="F35" s="25"/>
      <c r="G35" s="25"/>
      <c r="H35" s="25"/>
      <c r="I35" s="25"/>
      <c r="J35" s="25"/>
      <c r="K35" s="25"/>
      <c r="L35" s="25"/>
      <c r="M35" s="25"/>
      <c r="N35" s="25"/>
      <c r="O35" s="25"/>
      <c r="P35" s="25"/>
      <c r="Q35" s="25"/>
      <c r="R35" s="25"/>
      <c r="S35" s="22" t="s">
        <v>38</v>
      </c>
      <c r="T35" s="25"/>
      <c r="U35" s="26">
        <f>IF(AND('Saisie Bât neuf'!T35="RSA socle",'Saisie Bât neuf'!S35="RSA socle"),IF(('Saisie Bât neuf'!K35+'Saisie Bât neuf'!L35)&gt;5,Ressources!$I$4+Ressources!$J$4*(('Saisie Bât neuf'!K35+'Saisie Bât neuf'!L35)-5),IF(('Saisie Bât neuf'!K35+'Saisie Bât neuf'!L35)=2,Ressources!$F$4,IF(('Saisie Bât neuf'!K35+'Saisie Bât neuf'!L35)=3,Ressources!$G$4,IF(('Saisie Bât neuf'!K35+'Saisie Bât neuf'!L35)=4,Ressources!$H$4,IF(('Saisie Bât neuf'!K35+'Saisie Bât neuf'!L35)=5,Ressources!$I$4,0))))), IF(OR(AND('Saisie Bât neuf'!T35="RSA socle",'Saisie Bât neuf'!S35&lt;&gt;"RSA socle"),AND('Saisie Bât neuf'!S35="RSA socle",'Saisie Bât neuf'!T35&lt;&gt;"RSA socle")),IF(('Saisie Bât neuf'!K35+'Saisie Bât neuf'!L35)&gt;4,Ressources!$I$3+Ressources!$J$3*(('Saisie Bât neuf'!K35+'Saisie Bât neuf'!L35)-4),IF(('Saisie Bât neuf'!K35+'Saisie Bât neuf'!L35)=1,Ressources!$F$3,IF(('Saisie Bât neuf'!K35+'Saisie Bât neuf'!L35)=2,Ressources!$G$3,IF(('Saisie Bât neuf'!K35+'Saisie Bât neuf'!L35)=3,Ressources!$H$3,IF(('Saisie Bât neuf'!K35+'Saisie Bât neuf'!L35)=4,Ressources!$I$3,0))))))+IF(S35=Ressources!$A$3,Ressources!$B$3,IF(S35=Ressources!$A$5,Ressources!$B$5,IF(S35=Ressources!$A$6,Ressources!$B$6,IF(S35=Ressources!$A$7,Ressources!$B$7,IF(S35=Ressources!$A$8,Ressources!$B$8,IF(S35=Ressources!$A$9,Ressources!$B$9,IF(S35=Ressources!$A$10,Ressources!$B$10,IF(S35=Ressources!$A$11,Ressources!$B$11,0))))))))+IF(T35=Ressources!$A$3,Ressources!$B$3,IF(T35=Ressources!$A$5,Ressources!$B$5,IF(T35=Ressources!$A$6,Ressources!$B$6,IF(T35=Ressources!$A$7,Ressources!$B$7,IF(T35=Ressources!$A$8,Ressources!$B$8,IF(T35=Ressources!$A$9,Ressources!$B$9,IF(T35=Ressources!$A$10,Ressources!$B$10,IF(T35=Ressources!$A$11,Ressources!$B$11,0)))))))))</f>
        <v>0</v>
      </c>
      <c r="V35" s="26">
        <f>IF(AND(S35&lt;&gt;0,T35&lt;&gt;0),IF((K35+L35)&gt;6,Ressources!$H$12+(K35+L35-6)*Ressources!$I$12+('Saisie Bât neuf'!K35-2)*Ressources!$I$13,IF((K35+L35)=6,Ressources!$H$12+('Saisie Bât neuf'!K35-2)*Ressources!$H$13,IF((K35+L35)=5,Ressources!$G$12+('Saisie Bât neuf'!K35-2)*Ressources!$G$13,IF((K35+L35)=4,Ressources!$F$12+('Saisie Bât neuf'!K35-2)*Ressources!$F$13,0)))),IF(OR(S35=0,T35=0),IF((K35+L35)&gt;5,Ressources!$H$12+(K35+L35-5)*Ressources!$I$12+('Saisie Bât neuf'!K35-1)*Ressources!$I$13,IF((K35+L35)=5,Ressources!$H$12+('Saisie Bât neuf'!K35-1)*Ressources!$H$13,IF((K35+L35)=4,Ressources!$G$12+('Saisie Bât neuf'!K35-1)*Ressources!$G$13,IF((K35+L35)=3,Ressources!$F$12+('Saisie Bât neuf'!K35-1)*Ressources!$F$13,0))))))</f>
        <v>0</v>
      </c>
      <c r="W35" s="26"/>
      <c r="X35" s="25"/>
      <c r="AMN35" s="1"/>
    </row>
    <row r="36" spans="1:24 1028:1028" ht="30" hidden="1" customHeight="1" x14ac:dyDescent="0.25">
      <c r="A36" s="23" t="s">
        <v>63</v>
      </c>
      <c r="B36" s="24"/>
      <c r="C36" s="25"/>
      <c r="D36" s="25"/>
      <c r="E36" s="25"/>
      <c r="F36" s="25"/>
      <c r="G36" s="25"/>
      <c r="H36" s="25"/>
      <c r="I36" s="25"/>
      <c r="J36" s="25"/>
      <c r="K36" s="25"/>
      <c r="L36" s="25"/>
      <c r="M36" s="25"/>
      <c r="N36" s="25"/>
      <c r="O36" s="25"/>
      <c r="P36" s="25"/>
      <c r="Q36" s="25"/>
      <c r="R36" s="25"/>
      <c r="S36" s="22" t="s">
        <v>38</v>
      </c>
      <c r="T36" s="25"/>
      <c r="U36" s="26">
        <f>IF(AND('Saisie Bât neuf'!T36="RSA socle",'Saisie Bât neuf'!S36="RSA socle"),IF(('Saisie Bât neuf'!K36+'Saisie Bât neuf'!L36)&gt;5,Ressources!$I$4+Ressources!$J$4*(('Saisie Bât neuf'!K36+'Saisie Bât neuf'!L36)-5),IF(('Saisie Bât neuf'!K36+'Saisie Bât neuf'!L36)=2,Ressources!$F$4,IF(('Saisie Bât neuf'!K36+'Saisie Bât neuf'!L36)=3,Ressources!$G$4,IF(('Saisie Bât neuf'!K36+'Saisie Bât neuf'!L36)=4,Ressources!$H$4,IF(('Saisie Bât neuf'!K36+'Saisie Bât neuf'!L36)=5,Ressources!$I$4,0))))), IF(OR(AND('Saisie Bât neuf'!T36="RSA socle",'Saisie Bât neuf'!S36&lt;&gt;"RSA socle"),AND('Saisie Bât neuf'!S36="RSA socle",'Saisie Bât neuf'!T36&lt;&gt;"RSA socle")),IF(('Saisie Bât neuf'!K36+'Saisie Bât neuf'!L36)&gt;4,Ressources!$I$3+Ressources!$J$3*(('Saisie Bât neuf'!K36+'Saisie Bât neuf'!L36)-4),IF(('Saisie Bât neuf'!K36+'Saisie Bât neuf'!L36)=1,Ressources!$F$3,IF(('Saisie Bât neuf'!K36+'Saisie Bât neuf'!L36)=2,Ressources!$G$3,IF(('Saisie Bât neuf'!K36+'Saisie Bât neuf'!L36)=3,Ressources!$H$3,IF(('Saisie Bât neuf'!K36+'Saisie Bât neuf'!L36)=4,Ressources!$I$3,0))))))+IF(S36=Ressources!$A$3,Ressources!$B$3,IF(S36=Ressources!$A$5,Ressources!$B$5,IF(S36=Ressources!$A$6,Ressources!$B$6,IF(S36=Ressources!$A$7,Ressources!$B$7,IF(S36=Ressources!$A$8,Ressources!$B$8,IF(S36=Ressources!$A$9,Ressources!$B$9,IF(S36=Ressources!$A$10,Ressources!$B$10,IF(S36=Ressources!$A$11,Ressources!$B$11,0))))))))+IF(T36=Ressources!$A$3,Ressources!$B$3,IF(T36=Ressources!$A$5,Ressources!$B$5,IF(T36=Ressources!$A$6,Ressources!$B$6,IF(T36=Ressources!$A$7,Ressources!$B$7,IF(T36=Ressources!$A$8,Ressources!$B$8,IF(T36=Ressources!$A$9,Ressources!$B$9,IF(T36=Ressources!$A$10,Ressources!$B$10,IF(T36=Ressources!$A$11,Ressources!$B$11,0)))))))))</f>
        <v>0</v>
      </c>
      <c r="V36" s="26">
        <f>IF(AND(S36&lt;&gt;0,T36&lt;&gt;0),IF((K36+L36)&gt;6,Ressources!$H$12+(K36+L36-6)*Ressources!$I$12+('Saisie Bât neuf'!K36-2)*Ressources!$I$13,IF((K36+L36)=6,Ressources!$H$12+('Saisie Bât neuf'!K36-2)*Ressources!$H$13,IF((K36+L36)=5,Ressources!$G$12+('Saisie Bât neuf'!K36-2)*Ressources!$G$13,IF((K36+L36)=4,Ressources!$F$12+('Saisie Bât neuf'!K36-2)*Ressources!$F$13,0)))),IF(OR(S36=0,T36=0),IF((K36+L36)&gt;5,Ressources!$H$12+(K36+L36-5)*Ressources!$I$12+('Saisie Bât neuf'!K36-1)*Ressources!$I$13,IF((K36+L36)=5,Ressources!$H$12+('Saisie Bât neuf'!K36-1)*Ressources!$H$13,IF((K36+L36)=4,Ressources!$G$12+('Saisie Bât neuf'!K36-1)*Ressources!$G$13,IF((K36+L36)=3,Ressources!$F$12+('Saisie Bât neuf'!K36-1)*Ressources!$F$13,0))))))</f>
        <v>0</v>
      </c>
      <c r="W36" s="26"/>
      <c r="X36" s="25"/>
      <c r="AMN36" s="1"/>
    </row>
    <row r="37" spans="1:24 1028:1028" ht="30" hidden="1" customHeight="1" x14ac:dyDescent="0.25">
      <c r="A37" s="23" t="s">
        <v>64</v>
      </c>
      <c r="B37" s="24"/>
      <c r="C37" s="25"/>
      <c r="D37" s="25"/>
      <c r="E37" s="25"/>
      <c r="F37" s="25"/>
      <c r="G37" s="25"/>
      <c r="H37" s="25"/>
      <c r="I37" s="25"/>
      <c r="J37" s="25"/>
      <c r="K37" s="25"/>
      <c r="L37" s="25"/>
      <c r="M37" s="25"/>
      <c r="N37" s="25"/>
      <c r="O37" s="25"/>
      <c r="P37" s="25"/>
      <c r="Q37" s="25"/>
      <c r="R37" s="25"/>
      <c r="S37" s="22" t="s">
        <v>38</v>
      </c>
      <c r="T37" s="25"/>
      <c r="U37" s="26">
        <f>IF(AND('Saisie Bât neuf'!T37="RSA socle",'Saisie Bât neuf'!S37="RSA socle"),IF(('Saisie Bât neuf'!K37+'Saisie Bât neuf'!L37)&gt;5,Ressources!$I$4+Ressources!$J$4*(('Saisie Bât neuf'!K37+'Saisie Bât neuf'!L37)-5),IF(('Saisie Bât neuf'!K37+'Saisie Bât neuf'!L37)=2,Ressources!$F$4,IF(('Saisie Bât neuf'!K37+'Saisie Bât neuf'!L37)=3,Ressources!$G$4,IF(('Saisie Bât neuf'!K37+'Saisie Bât neuf'!L37)=4,Ressources!$H$4,IF(('Saisie Bât neuf'!K37+'Saisie Bât neuf'!L37)=5,Ressources!$I$4,0))))), IF(OR(AND('Saisie Bât neuf'!T37="RSA socle",'Saisie Bât neuf'!S37&lt;&gt;"RSA socle"),AND('Saisie Bât neuf'!S37="RSA socle",'Saisie Bât neuf'!T37&lt;&gt;"RSA socle")),IF(('Saisie Bât neuf'!K37+'Saisie Bât neuf'!L37)&gt;4,Ressources!$I$3+Ressources!$J$3*(('Saisie Bât neuf'!K37+'Saisie Bât neuf'!L37)-4),IF(('Saisie Bât neuf'!K37+'Saisie Bât neuf'!L37)=1,Ressources!$F$3,IF(('Saisie Bât neuf'!K37+'Saisie Bât neuf'!L37)=2,Ressources!$G$3,IF(('Saisie Bât neuf'!K37+'Saisie Bât neuf'!L37)=3,Ressources!$H$3,IF(('Saisie Bât neuf'!K37+'Saisie Bât neuf'!L37)=4,Ressources!$I$3,0))))))+IF(S37=Ressources!$A$3,Ressources!$B$3,IF(S37=Ressources!$A$5,Ressources!$B$5,IF(S37=Ressources!$A$6,Ressources!$B$6,IF(S37=Ressources!$A$7,Ressources!$B$7,IF(S37=Ressources!$A$8,Ressources!$B$8,IF(S37=Ressources!$A$9,Ressources!$B$9,IF(S37=Ressources!$A$10,Ressources!$B$10,IF(S37=Ressources!$A$11,Ressources!$B$11,0))))))))+IF(T37=Ressources!$A$3,Ressources!$B$3,IF(T37=Ressources!$A$5,Ressources!$B$5,IF(T37=Ressources!$A$6,Ressources!$B$6,IF(T37=Ressources!$A$7,Ressources!$B$7,IF(T37=Ressources!$A$8,Ressources!$B$8,IF(T37=Ressources!$A$9,Ressources!$B$9,IF(T37=Ressources!$A$10,Ressources!$B$10,IF(T37=Ressources!$A$11,Ressources!$B$11,0)))))))))</f>
        <v>0</v>
      </c>
      <c r="V37" s="26">
        <f>IF(AND(S37&lt;&gt;0,T37&lt;&gt;0),IF((K37+L37)&gt;6,Ressources!$H$12+(K37+L37-6)*Ressources!$I$12+('Saisie Bât neuf'!K37-2)*Ressources!$I$13,IF((K37+L37)=6,Ressources!$H$12+('Saisie Bât neuf'!K37-2)*Ressources!$H$13,IF((K37+L37)=5,Ressources!$G$12+('Saisie Bât neuf'!K37-2)*Ressources!$G$13,IF((K37+L37)=4,Ressources!$F$12+('Saisie Bât neuf'!K37-2)*Ressources!$F$13,0)))),IF(OR(S37=0,T37=0),IF((K37+L37)&gt;5,Ressources!$H$12+(K37+L37-5)*Ressources!$I$12+('Saisie Bât neuf'!K37-1)*Ressources!$I$13,IF((K37+L37)=5,Ressources!$H$12+('Saisie Bât neuf'!K37-1)*Ressources!$H$13,IF((K37+L37)=4,Ressources!$G$12+('Saisie Bât neuf'!K37-1)*Ressources!$G$13,IF((K37+L37)=3,Ressources!$F$12+('Saisie Bât neuf'!K37-1)*Ressources!$F$13,0))))))</f>
        <v>0</v>
      </c>
      <c r="W37" s="26"/>
      <c r="X37" s="25"/>
      <c r="AMN37" s="1"/>
    </row>
    <row r="38" spans="1:24 1028:1028" x14ac:dyDescent="0.25">
      <c r="AMN38" s="1"/>
    </row>
    <row r="39" spans="1:24 1028:1028" ht="15" customHeight="1" x14ac:dyDescent="0.25">
      <c r="A39" s="127"/>
      <c r="B39" s="127"/>
      <c r="C39" s="127"/>
      <c r="D39" s="127"/>
      <c r="E39" s="128"/>
      <c r="F39" s="129"/>
      <c r="N39" s="157" t="s">
        <v>65</v>
      </c>
      <c r="O39" s="157"/>
      <c r="P39" s="157"/>
      <c r="Q39" s="157"/>
      <c r="S39" s="170" t="s">
        <v>66</v>
      </c>
      <c r="T39" s="171"/>
      <c r="U39" s="171"/>
      <c r="V39" s="171"/>
      <c r="AMN39" s="1"/>
    </row>
    <row r="40" spans="1:24 1028:1028" x14ac:dyDescent="0.25">
      <c r="A40" s="127"/>
      <c r="B40" s="127"/>
      <c r="C40" s="127"/>
      <c r="N40" s="157"/>
      <c r="O40" s="157"/>
      <c r="P40" s="157"/>
      <c r="Q40" s="157"/>
      <c r="S40" s="172"/>
      <c r="T40" s="173"/>
      <c r="U40" s="173"/>
      <c r="V40" s="173"/>
      <c r="AMN40" s="1"/>
    </row>
    <row r="41" spans="1:24 1028:1028" x14ac:dyDescent="0.25">
      <c r="A41" s="127"/>
      <c r="B41" s="127"/>
      <c r="C41" s="127"/>
      <c r="S41" s="172"/>
      <c r="T41" s="173"/>
      <c r="U41" s="173"/>
      <c r="V41" s="173"/>
      <c r="AMN41" s="1"/>
    </row>
    <row r="42" spans="1:24 1028:1028" x14ac:dyDescent="0.25">
      <c r="A42" s="127"/>
      <c r="B42" s="127"/>
      <c r="C42" s="127"/>
      <c r="S42" s="172"/>
      <c r="T42" s="173"/>
      <c r="U42" s="173"/>
      <c r="V42" s="173"/>
    </row>
    <row r="43" spans="1:24 1028:1028" x14ac:dyDescent="0.25">
      <c r="A43" s="127"/>
      <c r="B43" s="127"/>
      <c r="C43" s="127"/>
      <c r="S43" s="172"/>
      <c r="T43" s="173"/>
      <c r="U43" s="173"/>
      <c r="V43" s="173"/>
    </row>
    <row r="44" spans="1:24 1028:1028" x14ac:dyDescent="0.25">
      <c r="B44"/>
      <c r="S44" s="172"/>
      <c r="T44" s="173"/>
      <c r="U44" s="173"/>
      <c r="V44" s="173"/>
    </row>
    <row r="45" spans="1:24 1028:1028" x14ac:dyDescent="0.25">
      <c r="B45"/>
      <c r="S45" s="172"/>
      <c r="T45" s="173"/>
      <c r="U45" s="173"/>
      <c r="V45" s="173"/>
    </row>
    <row r="46" spans="1:24 1028:1028" x14ac:dyDescent="0.25">
      <c r="B46"/>
      <c r="S46" s="172"/>
      <c r="T46" s="173"/>
      <c r="U46" s="173"/>
      <c r="V46" s="173"/>
    </row>
    <row r="47" spans="1:24 1028:1028" x14ac:dyDescent="0.25">
      <c r="B47"/>
    </row>
  </sheetData>
  <sheetProtection algorithmName="SHA-512" hashValue="gw8z2Or7x4BKbklwWu3E/ikL3mWdosGJTa/htAOtuHQqPPmuqONJTxjvyw6KpCZeExNhOElK9DIu98claG9Ekw==" saltValue="gKdfVAEUJId+HFb4ltvieA==" spinCount="100000" sheet="1" objects="1" scenarios="1"/>
  <mergeCells count="40">
    <mergeCell ref="S39:V46"/>
    <mergeCell ref="G10:H10"/>
    <mergeCell ref="E10:F10"/>
    <mergeCell ref="I10:K10"/>
    <mergeCell ref="A2:B2"/>
    <mergeCell ref="C2:K2"/>
    <mergeCell ref="A3:B3"/>
    <mergeCell ref="C3:D3"/>
    <mergeCell ref="E12:E13"/>
    <mergeCell ref="A10:B10"/>
    <mergeCell ref="C10:D10"/>
    <mergeCell ref="O8:P10"/>
    <mergeCell ref="R8:R10"/>
    <mergeCell ref="T8:U10"/>
    <mergeCell ref="A1:X1"/>
    <mergeCell ref="A4:B4"/>
    <mergeCell ref="C4:D4"/>
    <mergeCell ref="A5:B5"/>
    <mergeCell ref="A6:B6"/>
    <mergeCell ref="X12:X13"/>
    <mergeCell ref="N39:Q40"/>
    <mergeCell ref="A7:B7"/>
    <mergeCell ref="C7:D7"/>
    <mergeCell ref="H12:H13"/>
    <mergeCell ref="I12:I13"/>
    <mergeCell ref="E6:M7"/>
    <mergeCell ref="A8:B9"/>
    <mergeCell ref="C8:C9"/>
    <mergeCell ref="A12:B13"/>
    <mergeCell ref="C12:C13"/>
    <mergeCell ref="D12:D13"/>
    <mergeCell ref="N12:R12"/>
    <mergeCell ref="S12:U12"/>
    <mergeCell ref="V12:V13"/>
    <mergeCell ref="F12:F13"/>
    <mergeCell ref="W12:W13"/>
    <mergeCell ref="J12:J13"/>
    <mergeCell ref="K12:L12"/>
    <mergeCell ref="M12:M13"/>
    <mergeCell ref="G12:G13"/>
  </mergeCells>
  <conditionalFormatting sqref="G14:G18">
    <cfRule type="containsText" dxfId="10" priority="3" operator="containsText" text="G">
      <formula>NOT(ISERROR(SEARCH("G",G14)))</formula>
    </cfRule>
    <cfRule type="containsText" dxfId="9" priority="4" operator="containsText" text="F">
      <formula>NOT(ISERROR(SEARCH("F",G14)))</formula>
    </cfRule>
    <cfRule type="containsText" dxfId="8" priority="5" operator="containsText" text="E">
      <formula>NOT(ISERROR(SEARCH("E",G14)))</formula>
    </cfRule>
    <cfRule type="containsText" dxfId="7" priority="6" operator="containsText" text="D">
      <formula>NOT(ISERROR(SEARCH("D",G14)))</formula>
    </cfRule>
    <cfRule type="containsText" dxfId="6" priority="7" operator="containsText" text="C">
      <formula>NOT(ISERROR(SEARCH("C",G14)))</formula>
    </cfRule>
    <cfRule type="containsText" dxfId="5" priority="8" operator="containsText" text="B">
      <formula>NOT(ISERROR(SEARCH("B",G14)))</formula>
    </cfRule>
    <cfRule type="containsText" dxfId="4" priority="9" operator="containsText" text="A">
      <formula>NOT(ISERROR(SEARCH("A",G14)))</formula>
    </cfRule>
  </conditionalFormatting>
  <conditionalFormatting sqref="G10:H10">
    <cfRule type="cellIs" priority="12" operator="equal">
      <formula>0</formula>
    </cfRule>
  </conditionalFormatting>
  <conditionalFormatting sqref="H14:H18">
    <cfRule type="containsText" dxfId="3" priority="10" operator="containsText" text="OUI">
      <formula>NOT(ISERROR(SEARCH("OUI",H14)))</formula>
    </cfRule>
    <cfRule type="containsText" dxfId="2" priority="11" operator="containsText" text="NON">
      <formula>NOT(ISERROR(SEARCH("NON",H14)))</formula>
    </cfRule>
  </conditionalFormatting>
  <dataValidations count="3">
    <dataValidation type="list" allowBlank="1" showInputMessage="1" showErrorMessage="1" sqref="C3:D3" xr:uid="{00000000-0002-0000-0100-000000000000}">
      <formula1>VILLE</formula1>
      <formula2>0</formula2>
    </dataValidation>
    <dataValidation type="list" allowBlank="1" showInputMessage="1" showErrorMessage="1" sqref="E14:E18" xr:uid="{00000000-0002-0000-0100-000001000000}">
      <formula1>typeecs</formula1>
      <formula2>0</formula2>
    </dataValidation>
    <dataValidation type="list" allowBlank="1" showInputMessage="1" showErrorMessage="1" sqref="J14:J18" xr:uid="{00000000-0002-0000-0100-000002000000}">
      <formula1>cuisson</formula1>
      <formula2>0</formula2>
    </dataValidation>
  </dataValidations>
  <pageMargins left="0.25" right="0.25" top="0.75" bottom="0.75" header="0.51180555555555496" footer="0.51180555555555496"/>
  <pageSetup paperSize="9" firstPageNumber="0" orientation="landscape" horizontalDpi="300" verticalDpi="300" r:id="rId1"/>
  <ignoredErrors>
    <ignoredError sqref="G14:G18"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3000000}">
          <x14:formula1>
            <xm:f>Ressources!$A$3:$A$11</xm:f>
          </x14:formula1>
          <x14:formula2>
            <xm:f>0</xm:f>
          </x14:formula2>
          <xm:sqref>T14:T18</xm:sqref>
        </x14:dataValidation>
        <x14:dataValidation type="list" allowBlank="1" showInputMessage="1" showErrorMessage="1" xr:uid="{00000000-0002-0000-0100-000004000000}">
          <x14:formula1>
            <xm:f>'calculs Bât neuf'!$X$37:$X$38</xm:f>
          </x14:formula1>
          <x14:formula2>
            <xm:f>0</xm:f>
          </x14:formula2>
          <xm:sqref>F14:F18</xm:sqref>
        </x14:dataValidation>
        <x14:dataValidation type="list" allowBlank="1" showInputMessage="1" showErrorMessage="1" xr:uid="{00000000-0002-0000-0100-000005000000}">
          <x14:formula1>
            <xm:f>'calculs Bât neuf'!$T$12:$T$13</xm:f>
          </x14:formula1>
          <x14:formula2>
            <xm:f>0</xm:f>
          </x14:formula2>
          <xm:sqref>C5</xm:sqref>
        </x14:dataValidation>
        <x14:dataValidation type="list" allowBlank="1" showInputMessage="1" showErrorMessage="1" xr:uid="{00000000-0002-0000-0100-000006000000}">
          <x14:formula1>
            <xm:f>'calculs Bât neuf'!$X$44:$X$45</xm:f>
          </x14:formula1>
          <xm:sqref>C7:D7</xm:sqref>
        </x14:dataValidation>
        <x14:dataValidation type="list" allowBlank="1" showInputMessage="1" showErrorMessage="1" xr:uid="{00000000-0002-0000-0100-000007000000}">
          <x14:formula1>
            <xm:f>'calculs Bât neuf'!$T$6:$T$9</xm:f>
          </x14:formula1>
          <xm:sqref>B14:B18</xm:sqref>
        </x14:dataValidation>
        <x14:dataValidation type="list" allowBlank="1" showInputMessage="1" showErrorMessage="1" xr:uid="{00000000-0002-0000-0100-000008000000}">
          <x14:formula1>
            <xm:f>'calculs Bât neuf'!$AR$37:$AR$48</xm:f>
          </x14:formula1>
          <x14:formula2>
            <xm:f>0</xm:f>
          </x14:formula2>
          <xm:sqref>D14:D18</xm:sqref>
        </x14:dataValidation>
        <x14:dataValidation type="list" allowBlank="1" showInputMessage="1" showErrorMessage="1" xr:uid="{00000000-0002-0000-0100-000009000000}">
          <x14:formula1>
            <xm:f>Ressources!$A$4:$A$11</xm:f>
          </x14:formula1>
          <x14:formula2>
            <xm:f>0</xm:f>
          </x14:formula2>
          <xm:sqref>S14:S37</xm:sqref>
        </x14:dataValidation>
        <x14:dataValidation type="list" allowBlank="1" showInputMessage="1" showErrorMessage="1" xr:uid="{00000000-0002-0000-0100-00000A000000}">
          <x14:formula1>
            <xm:f>'calculs Bât neuf'!$T$15:$T$19</xm:f>
          </x14:formula1>
          <xm:sqref>C10:D10</xm:sqref>
        </x14:dataValidation>
        <x14:dataValidation type="list" allowBlank="1" showInputMessage="1" showErrorMessage="1" xr:uid="{00000000-0002-0000-0100-00000B000000}">
          <x14:formula1>
            <xm:f>IF($G$10="","",'calculs Bât neuf'!$T$22:$T$23)</xm:f>
          </x14:formula1>
          <xm:sqref>I10:K10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B9BD5"/>
    <pageSetUpPr fitToPage="1"/>
  </sheetPr>
  <dimension ref="A1:W19"/>
  <sheetViews>
    <sheetView showGridLines="0" zoomScale="70" zoomScaleNormal="70" workbookViewId="0">
      <selection activeCell="K41" sqref="K41"/>
    </sheetView>
  </sheetViews>
  <sheetFormatPr baseColWidth="10" defaultColWidth="9.140625" defaultRowHeight="15" x14ac:dyDescent="0.25"/>
  <cols>
    <col min="1" max="1" width="12.28515625" customWidth="1"/>
    <col min="2" max="2" width="11.5703125" customWidth="1"/>
    <col min="3" max="3" width="6.85546875" customWidth="1"/>
    <col min="4" max="4" width="10.85546875" customWidth="1"/>
    <col min="5" max="5" width="12" customWidth="1"/>
    <col min="6" max="6" width="12.28515625" customWidth="1"/>
    <col min="7" max="7" width="10.85546875" customWidth="1"/>
    <col min="8" max="8" width="12.28515625" customWidth="1"/>
    <col min="9" max="10" width="11" customWidth="1"/>
    <col min="11" max="11" width="12.85546875" customWidth="1"/>
    <col min="12" max="12" width="10.85546875" customWidth="1"/>
    <col min="13" max="13" width="10.7109375" customWidth="1"/>
    <col min="14" max="15" width="10.85546875" customWidth="1"/>
    <col min="16" max="18" width="10.5703125" customWidth="1"/>
    <col min="19" max="19" width="4.28515625" customWidth="1"/>
    <col min="20" max="21" width="11.140625" customWidth="1"/>
    <col min="22" max="23" width="13" customWidth="1"/>
    <col min="24" max="24" width="9.28515625" customWidth="1"/>
    <col min="25" max="25" width="13" customWidth="1"/>
    <col min="26" max="26" width="5.28515625" customWidth="1"/>
    <col min="27" max="27" width="12.28515625" customWidth="1"/>
    <col min="28" max="1027" width="10.7109375" customWidth="1"/>
  </cols>
  <sheetData>
    <row r="1" spans="1:23" ht="34.5" customHeight="1" x14ac:dyDescent="0.5">
      <c r="A1" s="205" t="s">
        <v>67</v>
      </c>
      <c r="B1" s="206"/>
      <c r="C1" s="206"/>
      <c r="D1" s="206"/>
      <c r="E1" s="206"/>
      <c r="F1" s="206"/>
      <c r="G1" s="206"/>
      <c r="H1" s="206"/>
      <c r="I1" s="206"/>
      <c r="J1" s="206"/>
      <c r="K1" s="206"/>
      <c r="L1" s="206"/>
      <c r="M1" s="206"/>
      <c r="N1" s="206"/>
      <c r="O1" s="206"/>
      <c r="P1" s="206"/>
      <c r="Q1" s="206"/>
      <c r="R1" s="206"/>
      <c r="S1" s="206"/>
      <c r="T1" s="206"/>
      <c r="U1" s="206"/>
      <c r="V1" s="206"/>
      <c r="W1" s="206"/>
    </row>
    <row r="2" spans="1:23" ht="39" customHeight="1" x14ac:dyDescent="0.5">
      <c r="A2" s="212" t="s">
        <v>68</v>
      </c>
      <c r="B2" s="212"/>
      <c r="C2" s="212"/>
      <c r="D2" s="213" t="str">
        <f>'Saisie Bât neuf'!C2</f>
        <v>Gefosat</v>
      </c>
      <c r="E2" s="213"/>
      <c r="F2" s="213"/>
      <c r="G2" s="213"/>
      <c r="H2" s="213"/>
      <c r="I2" s="213"/>
      <c r="J2" s="213"/>
      <c r="K2" s="213"/>
      <c r="T2" s="27"/>
      <c r="U2" s="27"/>
      <c r="V2" s="27"/>
    </row>
    <row r="3" spans="1:23" s="31" customFormat="1" ht="45.75" customHeight="1" x14ac:dyDescent="0.25">
      <c r="A3" s="214" t="s">
        <v>69</v>
      </c>
      <c r="B3" s="214" t="s">
        <v>70</v>
      </c>
      <c r="C3" s="214" t="s">
        <v>71</v>
      </c>
      <c r="D3" s="195" t="s">
        <v>72</v>
      </c>
      <c r="E3" s="195"/>
      <c r="F3" s="195"/>
      <c r="G3" s="195"/>
      <c r="H3" s="195"/>
      <c r="I3" s="195"/>
      <c r="J3" s="195"/>
      <c r="K3" s="195"/>
      <c r="L3" s="196" t="s">
        <v>73</v>
      </c>
      <c r="M3" s="196"/>
      <c r="N3" s="29" t="s">
        <v>74</v>
      </c>
      <c r="O3" s="203" t="s">
        <v>75</v>
      </c>
      <c r="P3" s="203"/>
      <c r="Q3" s="203"/>
      <c r="R3" s="203"/>
      <c r="S3" s="30"/>
      <c r="T3" s="204" t="s">
        <v>76</v>
      </c>
      <c r="U3" s="204"/>
      <c r="V3" s="204"/>
      <c r="W3" s="204"/>
    </row>
    <row r="4" spans="1:23" ht="94.5" customHeight="1" x14ac:dyDescent="0.25">
      <c r="A4" s="214"/>
      <c r="B4" s="214"/>
      <c r="C4" s="214"/>
      <c r="D4" s="28" t="s">
        <v>77</v>
      </c>
      <c r="E4" s="28" t="s">
        <v>78</v>
      </c>
      <c r="F4" s="28" t="s">
        <v>374</v>
      </c>
      <c r="G4" s="28" t="s">
        <v>79</v>
      </c>
      <c r="H4" s="28" t="s">
        <v>80</v>
      </c>
      <c r="I4" s="28" t="s">
        <v>377</v>
      </c>
      <c r="J4" s="28" t="s">
        <v>388</v>
      </c>
      <c r="K4" s="32" t="s">
        <v>81</v>
      </c>
      <c r="L4" s="28" t="s">
        <v>82</v>
      </c>
      <c r="M4" s="28" t="s">
        <v>83</v>
      </c>
      <c r="N4" s="28" t="s">
        <v>84</v>
      </c>
      <c r="O4" s="32" t="s">
        <v>85</v>
      </c>
      <c r="P4" s="28" t="s">
        <v>86</v>
      </c>
      <c r="Q4" s="32" t="s">
        <v>87</v>
      </c>
      <c r="R4" s="32" t="s">
        <v>88</v>
      </c>
      <c r="T4" s="33" t="s">
        <v>89</v>
      </c>
      <c r="U4" s="33" t="s">
        <v>90</v>
      </c>
      <c r="V4" s="33" t="s">
        <v>91</v>
      </c>
      <c r="W4" s="33" t="s">
        <v>92</v>
      </c>
    </row>
    <row r="5" spans="1:23" s="42" customFormat="1" ht="15.75" x14ac:dyDescent="0.25">
      <c r="A5" s="34" t="s">
        <v>33</v>
      </c>
      <c r="B5" s="34" t="str">
        <f>'Saisie Bât neuf'!B14</f>
        <v>T2</v>
      </c>
      <c r="C5" s="34">
        <f>'Saisie Bât neuf'!C14</f>
        <v>50</v>
      </c>
      <c r="D5" s="35">
        <f>'calculs Bât neuf'!AG5*'calculs Bât neuf'!AT51/12</f>
        <v>34.944444444444436</v>
      </c>
      <c r="E5" s="36">
        <f>IF(ISNA('calculs Bât neuf'!BC32/12+IF(AND('calculs Bât neuf'!AO6&lt;&gt;"gaz",('calculs Bât neuf'!AP6="gaz")),'calculs Bât neuf'!AR15,0)/12),"-",'calculs Bât neuf'!BC32/12+IF(AND('calculs Bât neuf'!AO6&lt;&gt;"gaz",('calculs Bât neuf'!AP6="gaz")),'calculs Bât neuf'!AR15,0)/12)</f>
        <v>11.0075</v>
      </c>
      <c r="F5" s="36">
        <f>'calculs Bât neuf'!AI5*'Référence&amp;tarifs'!$C$8/12</f>
        <v>0</v>
      </c>
      <c r="G5" s="36">
        <f>'calculs Bât neuf'!BD16/12</f>
        <v>32.083333333333336</v>
      </c>
      <c r="H5" s="35">
        <f>IF(ISNA('calculs Bât neuf'!AS22/12),"-",'calculs Bât neuf'!AS22/12)</f>
        <v>44.094999999999999</v>
      </c>
      <c r="I5" s="35">
        <f>IF(ISNA('calculs Bât neuf'!AS29/12+IF(AND('calculs Bât neuf'!AO6&lt;&gt;"gaz",('calculs Bât neuf'!AP6&lt;&gt;"gaz"),('Saisie Bât neuf'!J14="gaz de ville")),'calculs Bât neuf'!AR15,0)/12),"-",'calculs Bât neuf'!AS29/12+IF(AND('calculs Bât neuf'!AO6&lt;&gt;"gaz",('calculs Bât neuf'!AP6&lt;&gt;"gaz"),('Saisie Bât neuf'!J14="gaz de ville")),'calculs Bât neuf'!AR15,0)/12)</f>
        <v>9.0730337078651679</v>
      </c>
      <c r="J5" s="134">
        <f>3*C5/12*'Référence&amp;tarifs'!$C$7</f>
        <v>3.145</v>
      </c>
      <c r="K5" s="37">
        <f>IF(ISERROR(D5+E5+G5+H5+I5+F5),0,D5+E5+G5+H5+I5+F5+J5)</f>
        <v>134.34831148564294</v>
      </c>
      <c r="L5" s="36">
        <f>(('Saisie Bât neuf'!N14*'Saisie Bât neuf'!C14)+'Saisie Bât neuf'!O14+'Saisie Bât neuf'!P14+'Saisie Bât neuf'!Q14+'Saisie Bât neuf'!R14)/12</f>
        <v>51.666666666666664</v>
      </c>
      <c r="M5" s="36">
        <f>K5+'Saisie Bât neuf'!M14+L5</f>
        <v>586.0149781523096</v>
      </c>
      <c r="N5" s="36">
        <f>M5-'Saisie Bât neuf'!X14</f>
        <v>436.0149781523096</v>
      </c>
      <c r="O5" s="37">
        <f>'Saisie Bât neuf'!U14+'Saisie Bât neuf'!V14-'Résultat Bât neuf'!N5</f>
        <v>768.86502184769029</v>
      </c>
      <c r="P5" s="38">
        <f>IF('Saisie Bât neuf'!K14&gt;0,1+0.5*('Saisie Bât neuf'!K14-1)+0.3*'Saisie Bât neuf'!L14,0)</f>
        <v>1.8</v>
      </c>
      <c r="Q5" s="39">
        <f>IF(ISERROR(O5/(P5*30)),0,O5/(P5*30))</f>
        <v>14.238241145327597</v>
      </c>
      <c r="R5" s="40">
        <f>IF(ISERROR(N5/('Saisie Bât neuf'!U14+'Saisie Bât neuf'!V14)),0,N5/('Saisie Bât neuf'!U14+'Saisie Bât neuf'!V14))</f>
        <v>0.36187419340706928</v>
      </c>
      <c r="S5"/>
      <c r="T5" s="36">
        <f>IF(ISERROR('Cheque Energie'!#REF!),0,'Cheque Energie'!#REF!)</f>
        <v>0</v>
      </c>
      <c r="U5" s="36">
        <f>T5/12</f>
        <v>0</v>
      </c>
      <c r="V5" s="36">
        <f>O5+U5</f>
        <v>768.86502184769029</v>
      </c>
      <c r="W5" s="41">
        <f>IF(ISERROR((N5-U5)/('Saisie Bât neuf'!U14+'Saisie Bât neuf'!V14)),0,(N5-U5)/('Saisie Bât neuf'!U14+'Saisie Bât neuf'!V14))</f>
        <v>0.36187419340706928</v>
      </c>
    </row>
    <row r="6" spans="1:23" s="42" customFormat="1" ht="15.75" x14ac:dyDescent="0.25">
      <c r="A6" s="34" t="s">
        <v>39</v>
      </c>
      <c r="B6" s="34">
        <f>'Saisie Bât neuf'!B15</f>
        <v>0</v>
      </c>
      <c r="C6" s="34">
        <f>'Saisie Bât neuf'!C15</f>
        <v>0</v>
      </c>
      <c r="D6" s="35" t="e">
        <f>'calculs Bât neuf'!AG6*'calculs Bât neuf'!AT52/12</f>
        <v>#N/A</v>
      </c>
      <c r="E6" s="36" t="str">
        <f>IF(ISNA('calculs Bât neuf'!BC33/12+IF(AND('calculs Bât neuf'!AO7&lt;&gt;"gaz",('calculs Bât neuf'!AP7="gaz")),'calculs Bât neuf'!AR16,0)/12),"-",'calculs Bât neuf'!BC33/12+IF(AND('calculs Bât neuf'!AO7&lt;&gt;"gaz",('calculs Bât neuf'!AP7="gaz")),'calculs Bât neuf'!AR16,0)/12)</f>
        <v>-</v>
      </c>
      <c r="F6" s="36">
        <f>'calculs Bât neuf'!AI6*'Référence&amp;tarifs'!$C$8/12</f>
        <v>0</v>
      </c>
      <c r="G6" s="36">
        <f>'calculs Bât neuf'!BF16/12</f>
        <v>0</v>
      </c>
      <c r="H6" s="35" t="str">
        <f>IF(ISNA('calculs Bât neuf'!AS23/12),"-",'calculs Bât neuf'!AS23/12)</f>
        <v>-</v>
      </c>
      <c r="I6" s="35" t="str">
        <f>IF(ISNA('calculs Bât neuf'!AS30/12+IF(AND('calculs Bât neuf'!AO7&lt;&gt;"gaz",('calculs Bât neuf'!AP7&lt;&gt;"gaz"),('Saisie Bât neuf'!J15="gaz de ville")),'calculs Bât neuf'!AR16,0)/12),"-",'calculs Bât neuf'!AS30/12+IF(AND('calculs Bât neuf'!AO7&lt;&gt;"gaz",('calculs Bât neuf'!AP7&lt;&gt;"gaz"),('Saisie Bât neuf'!J15="gaz de ville")),'calculs Bât neuf'!AR16,0)/12)</f>
        <v>-</v>
      </c>
      <c r="J6" s="134">
        <f>3*C6/12*'Référence&amp;tarifs'!$C$7</f>
        <v>0</v>
      </c>
      <c r="K6" s="37">
        <f t="shared" ref="K6:K9" si="0">IF(ISERROR(D6+E6+G6+H6+I6+F6),0,D6+E6+G6+H6+I6+F6+J6)</f>
        <v>0</v>
      </c>
      <c r="L6" s="36">
        <f>(('Saisie Bât neuf'!N15*'Saisie Bât neuf'!C15)+'Saisie Bât neuf'!O15+'Saisie Bât neuf'!P15+'Saisie Bât neuf'!Q15+'Saisie Bât neuf'!R15)/12</f>
        <v>0</v>
      </c>
      <c r="M6" s="36">
        <f>K6+'Saisie Bât neuf'!M15+L6</f>
        <v>0</v>
      </c>
      <c r="N6" s="36">
        <f>M6-'Saisie Bât neuf'!X15</f>
        <v>0</v>
      </c>
      <c r="O6" s="37">
        <f>'Saisie Bât neuf'!U15+'Saisie Bât neuf'!V15-'Résultat Bât neuf'!N6</f>
        <v>0</v>
      </c>
      <c r="P6" s="38">
        <f>IF('Saisie Bât neuf'!K15&gt;0,1+0.5*('Saisie Bât neuf'!K15-1)+0.3*'Saisie Bât neuf'!L15,0)</f>
        <v>0</v>
      </c>
      <c r="Q6" s="39">
        <f>IF(ISERROR(O6/(P6*30)),0,O6/(P6*30))</f>
        <v>0</v>
      </c>
      <c r="R6" s="40">
        <f>IF(ISERROR(N6/('Saisie Bât neuf'!U15+'Saisie Bât neuf'!V15)),0,N6/('Saisie Bât neuf'!U15+'Saisie Bât neuf'!V15))</f>
        <v>0</v>
      </c>
      <c r="S6"/>
      <c r="T6" s="36">
        <f>IF(ISERROR('Cheque Energie'!#REF!),0,'Cheque Energie'!#REF!)</f>
        <v>0</v>
      </c>
      <c r="U6" s="36">
        <f>T6/12</f>
        <v>0</v>
      </c>
      <c r="V6" s="36">
        <f>O6+U6</f>
        <v>0</v>
      </c>
      <c r="W6" s="41">
        <f>IF(ISERROR((N6-U6)/('Saisie Bât neuf'!U15+'Saisie Bât neuf'!V15)),0,(N6-U6)/('Saisie Bât neuf'!U15+'Saisie Bât neuf'!V15))</f>
        <v>0</v>
      </c>
    </row>
    <row r="7" spans="1:23" s="42" customFormat="1" ht="15.75" x14ac:dyDescent="0.25">
      <c r="A7" s="34" t="s">
        <v>43</v>
      </c>
      <c r="B7" s="34">
        <f>'Saisie Bât neuf'!B16</f>
        <v>0</v>
      </c>
      <c r="C7" s="34">
        <f>'Saisie Bât neuf'!C16</f>
        <v>0</v>
      </c>
      <c r="D7" s="35" t="e">
        <f>'calculs Bât neuf'!AG7*'calculs Bât neuf'!AT53/12</f>
        <v>#N/A</v>
      </c>
      <c r="E7" s="36" t="str">
        <f>IF(ISNA('calculs Bât neuf'!BC34/12+IF(AND('calculs Bât neuf'!AO8&lt;&gt;"gaz",('calculs Bât neuf'!AP8="gaz")),'calculs Bât neuf'!AR17,0)/12),"-",'calculs Bât neuf'!BC34/12+IF(AND('calculs Bât neuf'!AO8&lt;&gt;"gaz",('calculs Bât neuf'!AP8="gaz")),'calculs Bât neuf'!AR17,0)/12)</f>
        <v>-</v>
      </c>
      <c r="F7" s="36">
        <f>'calculs Bât neuf'!AI7*'Référence&amp;tarifs'!$C$8/12</f>
        <v>0</v>
      </c>
      <c r="G7" s="36">
        <f>'calculs Bât neuf'!BH16/12</f>
        <v>0</v>
      </c>
      <c r="H7" s="35" t="str">
        <f>IF(ISNA('calculs Bât neuf'!AS24/12),"-",'calculs Bât neuf'!AS24/12)</f>
        <v>-</v>
      </c>
      <c r="I7" s="35" t="str">
        <f>IF(ISNA('calculs Bât neuf'!AS31/12+IF(AND('calculs Bât neuf'!AO8&lt;&gt;"gaz",('calculs Bât neuf'!AP8&lt;&gt;"gaz"),('Saisie Bât neuf'!J16="gaz de ville")),'calculs Bât neuf'!AR17,0)/12),"-",'calculs Bât neuf'!AS31/12+IF(AND('calculs Bât neuf'!AO8&lt;&gt;"gaz",('calculs Bât neuf'!AP8&lt;&gt;"gaz"),('Saisie Bât neuf'!J16="gaz de ville")),'calculs Bât neuf'!AR17,0)/12)</f>
        <v>-</v>
      </c>
      <c r="J7" s="134">
        <f>3*C7/12*'Référence&amp;tarifs'!$C$7</f>
        <v>0</v>
      </c>
      <c r="K7" s="37">
        <f t="shared" si="0"/>
        <v>0</v>
      </c>
      <c r="L7" s="36">
        <f>(('Saisie Bât neuf'!N16*'Saisie Bât neuf'!C16)+'Saisie Bât neuf'!O16+'Saisie Bât neuf'!P16+'Saisie Bât neuf'!Q16+'Saisie Bât neuf'!R16)/12</f>
        <v>0</v>
      </c>
      <c r="M7" s="36">
        <f>K7+'Saisie Bât neuf'!M16+L7</f>
        <v>0</v>
      </c>
      <c r="N7" s="36">
        <f>M7-'Saisie Bât neuf'!X16</f>
        <v>0</v>
      </c>
      <c r="O7" s="37">
        <f>'Saisie Bât neuf'!U16+'Saisie Bât neuf'!V16-'Résultat Bât neuf'!N7</f>
        <v>0</v>
      </c>
      <c r="P7" s="38">
        <f>IF('Saisie Bât neuf'!K16&gt;0,1+0.5*('Saisie Bât neuf'!K16-1)+0.3*'Saisie Bât neuf'!L16,0)</f>
        <v>0</v>
      </c>
      <c r="Q7" s="39">
        <f>IF(ISERROR(O7/(P7*30)),0,O7/(P7*30))</f>
        <v>0</v>
      </c>
      <c r="R7" s="40">
        <f>IF(ISERROR(N7/('Saisie Bât neuf'!U16+'Saisie Bât neuf'!V16)),0,N7/('Saisie Bât neuf'!U16+'Saisie Bât neuf'!V16))</f>
        <v>0</v>
      </c>
      <c r="S7"/>
      <c r="T7" s="36">
        <f>IF(ISERROR('Cheque Energie'!#REF!),0,'Cheque Energie'!#REF!)</f>
        <v>0</v>
      </c>
      <c r="U7" s="36">
        <f>T7/12</f>
        <v>0</v>
      </c>
      <c r="V7" s="36">
        <f>O7+U7</f>
        <v>0</v>
      </c>
      <c r="W7" s="41">
        <f>IF(ISERROR((N7-U7)/('Saisie Bât neuf'!U16+'Saisie Bât neuf'!V16)),0,(N7-U7)/('Saisie Bât neuf'!U16+'Saisie Bât neuf'!V16))</f>
        <v>0</v>
      </c>
    </row>
    <row r="8" spans="1:23" s="42" customFormat="1" ht="15.75" x14ac:dyDescent="0.25">
      <c r="A8" s="34" t="s">
        <v>44</v>
      </c>
      <c r="B8" s="34">
        <f>'Saisie Bât neuf'!B17</f>
        <v>0</v>
      </c>
      <c r="C8" s="34">
        <f>'Saisie Bât neuf'!C17</f>
        <v>0</v>
      </c>
      <c r="D8" s="35" t="e">
        <f>'calculs Bât neuf'!AG8*'calculs Bât neuf'!AT54/12</f>
        <v>#N/A</v>
      </c>
      <c r="E8" s="36" t="str">
        <f>IF(ISNA('calculs Bât neuf'!BC35/12+IF(AND('calculs Bât neuf'!AO9&lt;&gt;"gaz",('calculs Bât neuf'!AP9="gaz")),'calculs Bât neuf'!AR18,0)/12),"-",'calculs Bât neuf'!BC35/12+IF(AND('calculs Bât neuf'!AO9&lt;&gt;"gaz",('calculs Bât neuf'!AP9="gaz")),'calculs Bât neuf'!AR18,0)/12)</f>
        <v>-</v>
      </c>
      <c r="F8" s="36">
        <f>'calculs Bât neuf'!AI8*'Référence&amp;tarifs'!$C$8/12</f>
        <v>0</v>
      </c>
      <c r="G8" s="36">
        <f>'calculs Bât neuf'!BJ16/12</f>
        <v>0</v>
      </c>
      <c r="H8" s="35" t="str">
        <f>IF(ISNA('calculs Bât neuf'!AS25/12),"-",'calculs Bât neuf'!AS25/12)</f>
        <v>-</v>
      </c>
      <c r="I8" s="35" t="str">
        <f>IF(ISNA('calculs Bât neuf'!AS32/12+IF(AND('calculs Bât neuf'!AO9&lt;&gt;"gaz",('calculs Bât neuf'!AP9&lt;&gt;"gaz"),('Saisie Bât neuf'!J17="gaz de ville")),'calculs Bât neuf'!AR18,0)/12),"-",'calculs Bât neuf'!AS32/12+IF(AND('calculs Bât neuf'!AO9&lt;&gt;"gaz",('calculs Bât neuf'!AP9&lt;&gt;"gaz"),('Saisie Bât neuf'!J17="gaz de ville")),'calculs Bât neuf'!AR18,0)/12)</f>
        <v>-</v>
      </c>
      <c r="J8" s="134">
        <f>3*C8/12*'Référence&amp;tarifs'!$C$7</f>
        <v>0</v>
      </c>
      <c r="K8" s="37">
        <f t="shared" si="0"/>
        <v>0</v>
      </c>
      <c r="L8" s="36">
        <f>(('Saisie Bât neuf'!N17*'Saisie Bât neuf'!C17)+'Saisie Bât neuf'!O17+'Saisie Bât neuf'!P17+'Saisie Bât neuf'!Q17+'Saisie Bât neuf'!R17)/12</f>
        <v>0</v>
      </c>
      <c r="M8" s="36">
        <f>K8+'Saisie Bât neuf'!M17+L8</f>
        <v>0</v>
      </c>
      <c r="N8" s="36">
        <f>M8-'Saisie Bât neuf'!X17</f>
        <v>0</v>
      </c>
      <c r="O8" s="37">
        <f>'Saisie Bât neuf'!U17+'Saisie Bât neuf'!V17-'Résultat Bât neuf'!N8</f>
        <v>0</v>
      </c>
      <c r="P8" s="38">
        <f>IF('Saisie Bât neuf'!K17&gt;0,1+0.5*('Saisie Bât neuf'!K17-1)+0.3*'Saisie Bât neuf'!L17,0)</f>
        <v>0</v>
      </c>
      <c r="Q8" s="39">
        <f>IF(ISERROR(O8/(P8*30)),0,O8/(P8*30))</f>
        <v>0</v>
      </c>
      <c r="R8" s="40">
        <f>IF(ISERROR(N8/('Saisie Bât neuf'!U17+'Saisie Bât neuf'!V17)),0,N8/('Saisie Bât neuf'!U17+'Saisie Bât neuf'!V17))</f>
        <v>0</v>
      </c>
      <c r="S8"/>
      <c r="T8" s="36">
        <f>IF(ISERROR('Cheque Energie'!#REF!),0,'Cheque Energie'!#REF!)</f>
        <v>0</v>
      </c>
      <c r="U8" s="36">
        <f>T8/12</f>
        <v>0</v>
      </c>
      <c r="V8" s="36">
        <f>O8+U8</f>
        <v>0</v>
      </c>
      <c r="W8" s="41">
        <f>IF(ISERROR((N8-U8)/('Saisie Bât neuf'!U17+'Saisie Bât neuf'!V17)),0,(N8-U8)/('Saisie Bât neuf'!U17+'Saisie Bât neuf'!V17))</f>
        <v>0</v>
      </c>
    </row>
    <row r="9" spans="1:23" s="42" customFormat="1" ht="15.75" x14ac:dyDescent="0.25">
      <c r="A9" s="34" t="s">
        <v>45</v>
      </c>
      <c r="B9" s="34">
        <f>'Saisie Bât neuf'!B18</f>
        <v>0</v>
      </c>
      <c r="C9" s="34">
        <f>'Saisie Bât neuf'!C18</f>
        <v>0</v>
      </c>
      <c r="D9" s="35" t="e">
        <f>'calculs Bât neuf'!AG9*'calculs Bât neuf'!AT55/12</f>
        <v>#N/A</v>
      </c>
      <c r="E9" s="36" t="str">
        <f>IF(ISNA('calculs Bât neuf'!BC36/12+IF(AND('calculs Bât neuf'!AO10&lt;&gt;"gaz",('calculs Bât neuf'!AP10="gaz")),'calculs Bât neuf'!AR19,0)/12),"-",'calculs Bât neuf'!BC36/12+IF(AND('calculs Bât neuf'!AO10&lt;&gt;"gaz",('calculs Bât neuf'!AP10="gaz")),'calculs Bât neuf'!AR19,0)/12)</f>
        <v>-</v>
      </c>
      <c r="F9" s="36">
        <f>'calculs Bât neuf'!AI9*'Référence&amp;tarifs'!$C$8/12</f>
        <v>0</v>
      </c>
      <c r="G9" s="35">
        <f>'calculs Bât neuf'!BL16/12</f>
        <v>0</v>
      </c>
      <c r="H9" s="35" t="str">
        <f>IF(ISNA('calculs Bât neuf'!AS26/12),"-",'calculs Bât neuf'!AS26/12)</f>
        <v>-</v>
      </c>
      <c r="I9" s="35" t="str">
        <f>IF(ISNA('calculs Bât neuf'!AS33/12+IF(AND('calculs Bât neuf'!AO10&lt;&gt;"gaz",('calculs Bât neuf'!AP10&lt;&gt;"gaz"),('Saisie Bât neuf'!J18="gaz de ville")),'calculs Bât neuf'!AR19,0)/12),"-",'calculs Bât neuf'!AS33/12+IF(AND('calculs Bât neuf'!AO10&lt;&gt;"gaz",('calculs Bât neuf'!AP10&lt;&gt;"gaz"),('Saisie Bât neuf'!J18="gaz de ville")),'calculs Bât neuf'!AR19,0)/12)</f>
        <v>-</v>
      </c>
      <c r="J9" s="134">
        <f>3*C9/12*'Référence&amp;tarifs'!$C$7</f>
        <v>0</v>
      </c>
      <c r="K9" s="37">
        <f t="shared" si="0"/>
        <v>0</v>
      </c>
      <c r="L9" s="36">
        <f>(('Saisie Bât neuf'!N18*'Saisie Bât neuf'!C18)+'Saisie Bât neuf'!O18+'Saisie Bât neuf'!P18+'Saisie Bât neuf'!Q18+'Saisie Bât neuf'!R18)/12</f>
        <v>0</v>
      </c>
      <c r="M9" s="36">
        <f>K9+'Saisie Bât neuf'!M18+L9</f>
        <v>0</v>
      </c>
      <c r="N9" s="36">
        <f>M9-'Saisie Bât neuf'!X18</f>
        <v>0</v>
      </c>
      <c r="O9" s="37">
        <f>'Saisie Bât neuf'!U18+'Saisie Bât neuf'!V18-'Résultat Bât neuf'!N9</f>
        <v>0</v>
      </c>
      <c r="P9" s="38">
        <f>IF('Saisie Bât neuf'!K18&gt;0,1+0.5*('Saisie Bât neuf'!K18-1)+0.3*'Saisie Bât neuf'!L18,0)</f>
        <v>0</v>
      </c>
      <c r="Q9" s="39">
        <f>IF(ISERROR(O9/(P9*30)),0,O9/(P9*30))</f>
        <v>0</v>
      </c>
      <c r="R9" s="40">
        <f>IF(ISERROR(N9/('Saisie Bât neuf'!U18+'Saisie Bât neuf'!V18)),0,N9/('Saisie Bât neuf'!U18+'Saisie Bât neuf'!V18))</f>
        <v>0</v>
      </c>
      <c r="S9"/>
      <c r="T9" s="36">
        <f>IF(ISERROR('Cheque Energie'!#REF!),0,'Cheque Energie'!#REF!)</f>
        <v>0</v>
      </c>
      <c r="U9" s="36">
        <f>T9/12</f>
        <v>0</v>
      </c>
      <c r="V9" s="36">
        <f>O9+U9</f>
        <v>0</v>
      </c>
      <c r="W9" s="41">
        <f>IF(ISERROR((N9-U9)/('Saisie Bât neuf'!U18+'Saisie Bât neuf'!V18)),0,(N9-U9)/('Saisie Bât neuf'!U18+'Saisie Bât neuf'!V18))</f>
        <v>0</v>
      </c>
    </row>
    <row r="10" spans="1:23" ht="9.75" customHeight="1" x14ac:dyDescent="0.25"/>
    <row r="11" spans="1:23" ht="21.75" customHeight="1" x14ac:dyDescent="0.25">
      <c r="B11" s="209" t="s">
        <v>93</v>
      </c>
      <c r="C11" s="210"/>
      <c r="D11" s="210"/>
      <c r="E11" s="210"/>
      <c r="F11" s="211"/>
      <c r="H11" s="197" t="s">
        <v>94</v>
      </c>
      <c r="I11" s="198"/>
      <c r="J11" s="198"/>
      <c r="K11" s="199"/>
    </row>
    <row r="12" spans="1:23" ht="22.5" customHeight="1" x14ac:dyDescent="0.25">
      <c r="B12" s="207" t="s">
        <v>95</v>
      </c>
      <c r="C12" s="207"/>
      <c r="D12" s="207" t="s">
        <v>96</v>
      </c>
      <c r="E12" s="207" t="s">
        <v>97</v>
      </c>
      <c r="F12" s="207" t="s">
        <v>96</v>
      </c>
      <c r="H12" s="200"/>
      <c r="I12" s="201"/>
      <c r="J12" s="201"/>
      <c r="K12" s="202"/>
    </row>
    <row r="13" spans="1:23" ht="27" customHeight="1" x14ac:dyDescent="0.25">
      <c r="B13" s="207"/>
      <c r="C13" s="207"/>
      <c r="D13" s="207"/>
      <c r="E13" s="207"/>
      <c r="F13" s="207"/>
      <c r="H13" s="208" t="s">
        <v>98</v>
      </c>
      <c r="I13" s="208"/>
      <c r="J13" s="208" t="s">
        <v>99</v>
      </c>
      <c r="K13" s="208"/>
    </row>
    <row r="14" spans="1:23" ht="28.15" customHeight="1" x14ac:dyDescent="0.25">
      <c r="A14" s="131" t="s">
        <v>33</v>
      </c>
      <c r="B14" s="194">
        <f>IF(ISNA('calculs Bât neuf'!AG5+'calculs Bât neuf'!AR22+'calculs Bât neuf'!AR29+'calculs Bât neuf'!BD32+3*C5),"-",'calculs Bât neuf'!AG5+'calculs Bât neuf'!AR22+'calculs Bât neuf'!AR29+'calculs Bât neuf'!BD32+3*C5)</f>
        <v>4201.6666666666661</v>
      </c>
      <c r="C14" s="194"/>
      <c r="D14" s="133">
        <f>IF(ISERROR(B14/'Saisie Bât neuf'!C14),0,B14/'Saisie Bât neuf'!C14)</f>
        <v>84.033333333333317</v>
      </c>
      <c r="E14" s="132">
        <f>IF(ISNA('calculs Bât neuf'!AG5),"-",'calculs Bât neuf'!AG5)</f>
        <v>1666.6666666666665</v>
      </c>
      <c r="F14" s="133">
        <f>IF(ISERROR(E14/'Saisie Bât neuf'!C14),0,E14/'Saisie Bât neuf'!C14)</f>
        <v>33.333333333333329</v>
      </c>
      <c r="H14" s="208"/>
      <c r="I14" s="208"/>
      <c r="J14" s="208"/>
      <c r="K14" s="208"/>
    </row>
    <row r="15" spans="1:23" ht="28.15" customHeight="1" x14ac:dyDescent="0.25">
      <c r="A15" s="131" t="s">
        <v>39</v>
      </c>
      <c r="B15" s="194" t="str">
        <f>IF(ISNA('calculs Bât neuf'!AG6+'calculs Bât neuf'!AR23+'calculs Bât neuf'!AR30+'calculs Bât neuf'!BD33+3*C6),"-",'calculs Bât neuf'!AG6+'calculs Bât neuf'!AR23+'calculs Bât neuf'!AR30+'calculs Bât neuf'!BD33+3*C6)</f>
        <v>-</v>
      </c>
      <c r="C15" s="194"/>
      <c r="D15" s="133">
        <f>IF(ISERROR(B15/'Saisie Bât neuf'!C15),0,B15/'Saisie Bât neuf'!C15)</f>
        <v>0</v>
      </c>
      <c r="E15" s="132" t="str">
        <f>IF(ISNA('calculs Bât neuf'!AG6),"-",'calculs Bât neuf'!AG6)</f>
        <v>-</v>
      </c>
      <c r="F15" s="133">
        <f>IF(ISERROR(E15/'Saisie Bât neuf'!C15),0,E15/'Saisie Bât neuf'!C15)</f>
        <v>0</v>
      </c>
      <c r="H15" s="112"/>
      <c r="I15" s="112"/>
      <c r="J15" s="112"/>
      <c r="K15" s="112"/>
    </row>
    <row r="16" spans="1:23" ht="28.15" customHeight="1" x14ac:dyDescent="0.25">
      <c r="A16" s="131" t="s">
        <v>43</v>
      </c>
      <c r="B16" s="194" t="str">
        <f>IF(ISNA('calculs Bât neuf'!AG7+'calculs Bât neuf'!AR24+'calculs Bât neuf'!AR31+'calculs Bât neuf'!BD34+3*C7),"-",'calculs Bât neuf'!AG7+'calculs Bât neuf'!AR24+'calculs Bât neuf'!AR31+'calculs Bât neuf'!BD34+3*C7)</f>
        <v>-</v>
      </c>
      <c r="C16" s="194"/>
      <c r="D16" s="133">
        <f>IF(ISERROR(B16/'Saisie Bât neuf'!C16),0,B16/'Saisie Bât neuf'!C16)</f>
        <v>0</v>
      </c>
      <c r="E16" s="132" t="str">
        <f>IF(ISNA('calculs Bât neuf'!AG7),"-",'calculs Bât neuf'!AG7)</f>
        <v>-</v>
      </c>
      <c r="F16" s="133">
        <f>IF(ISERROR(E16/'Saisie Bât neuf'!C16),0,E16/'Saisie Bât neuf'!C16)</f>
        <v>0</v>
      </c>
      <c r="H16" s="112"/>
      <c r="I16" s="112"/>
      <c r="J16" s="112"/>
      <c r="K16" s="112"/>
    </row>
    <row r="17" spans="1:6" ht="28.15" customHeight="1" x14ac:dyDescent="0.25">
      <c r="A17" s="131" t="s">
        <v>44</v>
      </c>
      <c r="B17" s="194" t="str">
        <f>IF(ISNA('calculs Bât neuf'!AG8+'calculs Bât neuf'!AR25+'calculs Bât neuf'!AR32+'calculs Bât neuf'!BD35+3*C8),"-",'calculs Bât neuf'!AG8+'calculs Bât neuf'!AR25+'calculs Bât neuf'!AR32+'calculs Bât neuf'!BD35+3*C8)</f>
        <v>-</v>
      </c>
      <c r="C17" s="194"/>
      <c r="D17" s="133">
        <f>IF(ISERROR(B17/'Saisie Bât neuf'!C17),0,B17/'Saisie Bât neuf'!C17)</f>
        <v>0</v>
      </c>
      <c r="E17" s="132" t="str">
        <f>IF(ISNA('calculs Bât neuf'!AG8),"-",'calculs Bât neuf'!AG8)</f>
        <v>-</v>
      </c>
      <c r="F17" s="133">
        <f>IF(ISERROR(E17/'Saisie Bât neuf'!C17),0,E17/'Saisie Bât neuf'!C17)</f>
        <v>0</v>
      </c>
    </row>
    <row r="18" spans="1:6" ht="28.15" customHeight="1" x14ac:dyDescent="0.25">
      <c r="A18" s="131" t="s">
        <v>45</v>
      </c>
      <c r="B18" s="194" t="str">
        <f>IF(ISNA('calculs Bât neuf'!AG9+'calculs Bât neuf'!AR26+'calculs Bât neuf'!AR33+'calculs Bât neuf'!BD36+3*C9),"-",'calculs Bât neuf'!AG9+'calculs Bât neuf'!AR26+'calculs Bât neuf'!AR33+'calculs Bât neuf'!BD36+3*C9)</f>
        <v>-</v>
      </c>
      <c r="C18" s="194"/>
      <c r="D18" s="133">
        <f>IF(ISERROR(B18/'Saisie Bât neuf'!C18),0,B18/'Saisie Bât neuf'!C18)</f>
        <v>0</v>
      </c>
      <c r="E18" s="132" t="str">
        <f>IF(ISNA('calculs Bât neuf'!AG9),"-",'calculs Bât neuf'!AG9)</f>
        <v>-</v>
      </c>
      <c r="F18" s="133">
        <f>IF(ISERROR(E18/'Saisie Bât neuf'!C18),0,E18/'Saisie Bât neuf'!C18)</f>
        <v>0</v>
      </c>
    </row>
    <row r="19" spans="1:6" x14ac:dyDescent="0.25">
      <c r="A19" t="s">
        <v>100</v>
      </c>
    </row>
  </sheetData>
  <sheetProtection algorithmName="SHA-512" hashValue="NpLZ/63F0HxGk4y0aKoraioIHpzLED5wH+mAgBB6z/JPIRy2NqKv8SYDiyT0T6WMvjmq8Rh2ha/TJtGH0rNwOA==" saltValue="8aUpXqz0nS/SGd6gW53jZQ==" spinCount="100000" sheet="1" objects="1" scenarios="1"/>
  <mergeCells count="23">
    <mergeCell ref="O3:R3"/>
    <mergeCell ref="T3:W3"/>
    <mergeCell ref="A1:W1"/>
    <mergeCell ref="B12:C13"/>
    <mergeCell ref="D12:D13"/>
    <mergeCell ref="E12:E13"/>
    <mergeCell ref="F12:F13"/>
    <mergeCell ref="H13:I14"/>
    <mergeCell ref="J13:K14"/>
    <mergeCell ref="B11:F11"/>
    <mergeCell ref="B14:C14"/>
    <mergeCell ref="A2:C2"/>
    <mergeCell ref="D2:K2"/>
    <mergeCell ref="A3:A4"/>
    <mergeCell ref="B3:B4"/>
    <mergeCell ref="C3:C4"/>
    <mergeCell ref="B18:C18"/>
    <mergeCell ref="B17:C17"/>
    <mergeCell ref="D3:K3"/>
    <mergeCell ref="L3:M3"/>
    <mergeCell ref="B15:C15"/>
    <mergeCell ref="B16:C16"/>
    <mergeCell ref="H11:K12"/>
  </mergeCells>
  <conditionalFormatting sqref="D2 D5:R9 T5:W9">
    <cfRule type="containsErrors" dxfId="1" priority="2">
      <formula>0</formula>
    </cfRule>
  </conditionalFormatting>
  <pageMargins left="0.25" right="0.25" top="0.75" bottom="0.75" header="0.51180555555555496" footer="0.51180555555555496"/>
  <pageSetup paperSize="9" firstPageNumber="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Q76"/>
  <sheetViews>
    <sheetView topLeftCell="W1" zoomScaleNormal="100" workbookViewId="0">
      <selection activeCell="AI5" sqref="AI5"/>
    </sheetView>
  </sheetViews>
  <sheetFormatPr baseColWidth="10" defaultColWidth="9.140625" defaultRowHeight="15" x14ac:dyDescent="0.25"/>
  <cols>
    <col min="1" max="1" width="16.42578125" style="43" customWidth="1"/>
    <col min="2" max="2" width="11.42578125" style="43"/>
    <col min="3" max="3" width="7.5703125" style="43" customWidth="1"/>
    <col min="4" max="7" width="6.140625" style="43" customWidth="1"/>
    <col min="8" max="8" width="6.85546875" style="43" customWidth="1"/>
    <col min="9" max="19" width="11.42578125" style="43"/>
    <col min="20" max="20" width="27.140625" style="43" customWidth="1"/>
    <col min="21" max="22" width="11.42578125" style="43"/>
    <col min="23" max="24" width="13.140625" style="43" customWidth="1"/>
    <col min="25" max="28" width="12.28515625" style="43" customWidth="1"/>
    <col min="29" max="30" width="11.5703125" style="43"/>
    <col min="31" max="31" width="10.7109375" style="43" customWidth="1"/>
    <col min="32" max="33" width="12.28515625" style="43" customWidth="1"/>
    <col min="34" max="34" width="11.5703125" style="43"/>
    <col min="35" max="36" width="12.28515625" style="43" customWidth="1"/>
    <col min="37" max="37" width="11.5703125" style="43" customWidth="1"/>
    <col min="38" max="38" width="12.5703125" style="43" customWidth="1"/>
    <col min="39" max="39" width="20.7109375" style="43" customWidth="1"/>
    <col min="40" max="42" width="11.42578125" style="43"/>
    <col min="43" max="43" width="16.7109375" style="43" customWidth="1"/>
    <col min="44" max="44" width="59.85546875" style="43" customWidth="1"/>
    <col min="45" max="45" width="25.42578125" style="43" customWidth="1"/>
    <col min="46" max="46" width="22" style="43" customWidth="1"/>
    <col min="47" max="50" width="10.42578125" style="43" customWidth="1"/>
    <col min="51" max="52" width="11.42578125" style="43"/>
    <col min="53" max="53" width="29.42578125" style="43" customWidth="1"/>
    <col min="54" max="54" width="23.85546875" style="43" customWidth="1"/>
    <col min="55" max="55" width="15" style="43" customWidth="1"/>
    <col min="56" max="60" width="11.85546875" style="43" customWidth="1"/>
    <col min="61" max="61" width="15" style="43" customWidth="1"/>
    <col min="62" max="62" width="11.85546875" style="43" customWidth="1"/>
    <col min="63" max="63" width="15" style="43" customWidth="1"/>
    <col min="64" max="64" width="11.85546875" style="43" customWidth="1"/>
    <col min="65" max="65" width="19" style="43" customWidth="1"/>
    <col min="66" max="1031" width="11.42578125" style="43"/>
    <col min="1032" max="1033" width="11.42578125"/>
  </cols>
  <sheetData>
    <row r="1" spans="1:64" ht="13.9" customHeight="1" x14ac:dyDescent="0.25">
      <c r="Y1" s="216" t="s">
        <v>101</v>
      </c>
      <c r="Z1" s="216" t="s">
        <v>102</v>
      </c>
      <c r="AA1" s="216" t="s">
        <v>103</v>
      </c>
      <c r="AB1" s="216" t="s">
        <v>104</v>
      </c>
      <c r="AC1" s="216" t="s">
        <v>105</v>
      </c>
      <c r="AD1" s="216" t="s">
        <v>106</v>
      </c>
      <c r="AE1" s="216" t="s">
        <v>291</v>
      </c>
      <c r="AF1" s="216" t="s">
        <v>107</v>
      </c>
      <c r="AG1" s="216" t="s">
        <v>354</v>
      </c>
      <c r="AH1" s="218" t="s">
        <v>108</v>
      </c>
      <c r="AI1" s="216" t="s">
        <v>383</v>
      </c>
      <c r="AJ1" s="218" t="s">
        <v>384</v>
      </c>
      <c r="AK1" s="218" t="s">
        <v>385</v>
      </c>
      <c r="AL1" s="218" t="s">
        <v>366</v>
      </c>
      <c r="AM1" s="116"/>
    </row>
    <row r="2" spans="1:64" ht="13.9" customHeight="1" x14ac:dyDescent="0.25">
      <c r="A2" s="219" t="s">
        <v>109</v>
      </c>
      <c r="B2" s="219" t="s">
        <v>110</v>
      </c>
      <c r="C2" s="216" t="s">
        <v>111</v>
      </c>
      <c r="D2" s="219" t="s">
        <v>105</v>
      </c>
      <c r="E2" s="219" t="s">
        <v>112</v>
      </c>
      <c r="F2" s="219" t="s">
        <v>113</v>
      </c>
      <c r="G2" s="216" t="s">
        <v>353</v>
      </c>
      <c r="H2" s="216" t="s">
        <v>382</v>
      </c>
      <c r="I2" s="43" t="s">
        <v>114</v>
      </c>
      <c r="W2" s="220"/>
      <c r="X2" s="220"/>
      <c r="Y2" s="216"/>
      <c r="Z2" s="216"/>
      <c r="AA2" s="216"/>
      <c r="AB2" s="216"/>
      <c r="AC2" s="216"/>
      <c r="AD2" s="216"/>
      <c r="AE2" s="216"/>
      <c r="AF2" s="216"/>
      <c r="AG2" s="216"/>
      <c r="AH2" s="216"/>
      <c r="AI2" s="216"/>
      <c r="AJ2" s="216"/>
      <c r="AK2" s="216"/>
      <c r="AL2" s="216"/>
      <c r="AM2" s="117"/>
    </row>
    <row r="3" spans="1:64" x14ac:dyDescent="0.25">
      <c r="A3" s="219"/>
      <c r="B3" s="219"/>
      <c r="C3" s="216"/>
      <c r="D3" s="219"/>
      <c r="E3" s="219"/>
      <c r="F3" s="219"/>
      <c r="G3" s="216"/>
      <c r="H3" s="216"/>
      <c r="I3" s="43" t="s">
        <v>386</v>
      </c>
      <c r="Y3" s="216"/>
      <c r="Z3" s="216"/>
      <c r="AA3" s="216"/>
      <c r="AB3" s="216"/>
      <c r="AC3" s="216"/>
      <c r="AD3" s="216"/>
      <c r="AE3" s="216"/>
      <c r="AF3" s="216"/>
      <c r="AG3" s="216"/>
      <c r="AH3" s="216"/>
      <c r="AI3" s="216"/>
      <c r="AJ3" s="216"/>
      <c r="AK3" s="216"/>
      <c r="AL3" s="216"/>
      <c r="AM3" s="117"/>
    </row>
    <row r="4" spans="1:64" x14ac:dyDescent="0.25">
      <c r="A4" s="219"/>
      <c r="B4" s="219"/>
      <c r="C4" s="216"/>
      <c r="D4" s="219"/>
      <c r="E4" s="219"/>
      <c r="F4" s="219"/>
      <c r="G4" s="216"/>
      <c r="H4" s="216"/>
      <c r="I4" s="215" t="s">
        <v>115</v>
      </c>
      <c r="J4" s="215"/>
      <c r="K4" s="215" t="s">
        <v>116</v>
      </c>
      <c r="L4" s="215"/>
      <c r="M4" s="215" t="s">
        <v>117</v>
      </c>
      <c r="N4" s="215"/>
      <c r="O4" s="215" t="s">
        <v>118</v>
      </c>
      <c r="P4" s="215"/>
      <c r="Q4" s="215" t="s">
        <v>119</v>
      </c>
      <c r="R4" s="215"/>
      <c r="T4" s="43" t="s">
        <v>120</v>
      </c>
      <c r="Y4" s="216"/>
      <c r="Z4" s="216" t="s">
        <v>121</v>
      </c>
      <c r="AA4" s="216" t="s">
        <v>122</v>
      </c>
      <c r="AB4" s="216" t="s">
        <v>123</v>
      </c>
      <c r="AC4" s="216"/>
      <c r="AD4" s="216"/>
      <c r="AE4" s="216"/>
      <c r="AF4" s="216" t="s">
        <v>124</v>
      </c>
      <c r="AG4" s="216"/>
      <c r="AH4" s="218"/>
      <c r="AI4" s="216"/>
      <c r="AJ4" s="218"/>
      <c r="AK4" s="218"/>
      <c r="AL4" s="218"/>
      <c r="AM4" s="116"/>
      <c r="AQ4" s="215" t="s">
        <v>125</v>
      </c>
      <c r="AR4" s="215"/>
      <c r="AS4" s="215"/>
    </row>
    <row r="5" spans="1:64" ht="15" customHeight="1" x14ac:dyDescent="0.25">
      <c r="A5" s="219"/>
      <c r="B5" s="219"/>
      <c r="C5" s="216"/>
      <c r="D5" s="219"/>
      <c r="E5" s="219"/>
      <c r="F5" s="219"/>
      <c r="G5" s="216"/>
      <c r="H5" s="216"/>
      <c r="I5" s="44" t="s">
        <v>126</v>
      </c>
      <c r="J5" s="44" t="s">
        <v>127</v>
      </c>
      <c r="K5" s="44" t="s">
        <v>128</v>
      </c>
      <c r="L5" s="44" t="s">
        <v>127</v>
      </c>
      <c r="M5" s="44" t="s">
        <v>128</v>
      </c>
      <c r="N5" s="44" t="s">
        <v>127</v>
      </c>
      <c r="O5" s="44" t="s">
        <v>128</v>
      </c>
      <c r="P5" s="44" t="s">
        <v>127</v>
      </c>
      <c r="Q5" s="44" t="s">
        <v>128</v>
      </c>
      <c r="R5" s="44" t="s">
        <v>127</v>
      </c>
      <c r="T5" s="43" t="s">
        <v>129</v>
      </c>
      <c r="W5" s="215" t="s">
        <v>130</v>
      </c>
      <c r="X5" s="215"/>
      <c r="Y5" s="45">
        <f>'Saisie Bât neuf'!$C$6*'Saisie Bât neuf'!C14</f>
        <v>2000</v>
      </c>
      <c r="Z5" s="46">
        <f>IF(OR('Saisie Bât neuf'!E14='calculs Bât neuf'!$BB$21,'Saisie Bât neuf'!E14='calculs Bât neuf'!$BB$23,'Saisie Bât neuf'!E14='calculs Bât neuf'!$BB$25,'Saisie Bât neuf'!E14='calculs Bât neuf'!$BB$28),$BD32*AH12,$BD32)</f>
        <v>1207.5</v>
      </c>
      <c r="AA5" s="45">
        <f>IF('Saisie Bât neuf'!F14='calculs Bât neuf'!$X$37,VLOOKUP('Saisie Bât neuf'!$C$3,'calculs Bât neuf'!$A$6:$R$67,8),VLOOKUP('Saisie Bât neuf'!$C$3,'calculs Bât neuf'!$A$6:$R$67,9))*AH12</f>
        <v>9.1999999999999993</v>
      </c>
      <c r="AB5" s="46">
        <f>Y5-Z5-AA5</f>
        <v>783.3</v>
      </c>
      <c r="AC5" s="45">
        <f>VLOOKUP('Saisie Bât neuf'!C3,'calculs Bât neuf'!A6:F67,4)</f>
        <v>0.8</v>
      </c>
      <c r="AD5" s="47">
        <f>VLOOKUP(AC5,$F$71:$O$76,6)</f>
        <v>0.4</v>
      </c>
      <c r="AE5" s="110">
        <f>VLOOKUP('Saisie Bât neuf'!D14,$AR$37:$AS$48,2)</f>
        <v>0.9</v>
      </c>
      <c r="AF5" s="111">
        <f>IF('Saisie Bât neuf'!$C$7='calculs Bât neuf'!$X$44,'calculs Bât neuf'!$W$44,'calculs Bât neuf'!$W$45)*'Saisie Bât neuf'!C14*2.5*(19-VLOOKUP('Saisie Bât neuf'!$C$3,$A$6:$G$67,7))/AE5</f>
        <v>1666.6666666666665</v>
      </c>
      <c r="AG5" s="45">
        <f>IF('Saisie Bât neuf'!F14='calculs Bât neuf'!$X$37,'calculs Bât neuf'!AF5,AF5-AF5*AD5)</f>
        <v>1666.6666666666665</v>
      </c>
      <c r="AH5" s="45">
        <f>IF('Saisie Bât neuf'!$D14=$AR$37,AG5,IF('Saisie Bât neuf'!$D14=$AR$38,AG5,IF('Saisie Bât neuf'!$D14=$AR$39,AG5,IF('Saisie Bât neuf'!$D14=$AR$45,AG5,IF('Saisie Bât neuf'!$D14=$AR$46,AG5,IF('Saisie Bât neuf'!$D14=$AR$40,AG5*0.8+AG5*AH12*0.2,AG5*AH12))))))</f>
        <v>3833.3333333333326</v>
      </c>
      <c r="AI5" s="45">
        <f>IF('Saisie Bât neuf'!D14="pac air-air", VLOOKUP('Saisie Bât neuf'!$C$3,'calculs Bât neuf'!$A$6:$H$67,8)*8/100*'Saisie Bât neuf'!C14*30,0)</f>
        <v>0</v>
      </c>
      <c r="AJ5" s="45">
        <f>AI5*$AH$12</f>
        <v>0</v>
      </c>
      <c r="AK5" s="46">
        <f>Z5+AA5+AH5+AJ5</f>
        <v>5050.0333333333328</v>
      </c>
      <c r="AL5" s="45">
        <f>AK5/'Saisie Bât neuf'!C14</f>
        <v>101.00066666666666</v>
      </c>
      <c r="AM5" s="43" t="str">
        <f>IF(AL5&lt;($AF$17+1),"A",IF(AL5&lt;($AF$18+1),"B",IF(AL5&lt;($AF$19+1),"C",IF(AL5&lt;($AF$20+1),"D",IF(AL5&lt;($AF$21+1),"E",IF(AL5&lt;($AF$22+1),"F",IF(AL5&gt;$AF$22,"G",0)))))))</f>
        <v>B</v>
      </c>
      <c r="AO5" s="43" t="s">
        <v>131</v>
      </c>
      <c r="AP5" s="43" t="s">
        <v>132</v>
      </c>
      <c r="AQ5" s="48" t="s">
        <v>133</v>
      </c>
      <c r="AR5" s="48" t="s">
        <v>134</v>
      </c>
      <c r="AS5" s="48" t="s">
        <v>135</v>
      </c>
      <c r="AX5" s="49"/>
      <c r="AY5" s="50"/>
      <c r="AZ5" s="50"/>
    </row>
    <row r="6" spans="1:64" x14ac:dyDescent="0.25">
      <c r="A6" s="44" t="s">
        <v>136</v>
      </c>
      <c r="B6" s="44">
        <v>80</v>
      </c>
      <c r="C6" s="44" t="s">
        <v>137</v>
      </c>
      <c r="D6" s="44">
        <f t="shared" ref="D6:D37" si="0">IF(C6="H1a",1.3,IF(C6="H1b",1.3,IF(C6="H1c",1.2,IF(C6="H2a",1.1,IF(C6="H2b",1,IF(C6="H2c",0.9,IF(C6="H2d",0.9,IF(C6="H3",0.8,0))))))))</f>
        <v>1.3</v>
      </c>
      <c r="E6" s="44">
        <f>IF('Saisie Bât neuf'!$C$4&gt;799,0.2,IF('Saisie Bât neuf'!$C$4&gt;399,0.1,0))</f>
        <v>0</v>
      </c>
      <c r="F6" s="44">
        <f>IF('Saisie Bât neuf'!$C$5="Non",50*(D6+E6),50*(D6+E6)+12)</f>
        <v>65</v>
      </c>
      <c r="G6" s="44">
        <v>-9</v>
      </c>
      <c r="H6" s="44">
        <f>IF(OR(C6="H1a",C6="H1b",C6="H1c"),1,IF(OR(C6="H2a",C6="H2b",C6="H2c",C6="H2d"),2,IF(C6="H3",4,0)))</f>
        <v>1</v>
      </c>
      <c r="I6" s="51">
        <f>IF(160*'Saisie Bât neuf'!$C$14/100&lt;80,80,160*'Saisie Bât neuf'!$C$14/100)</f>
        <v>80</v>
      </c>
      <c r="J6" s="51">
        <f>IF((160+124)*'Saisie Bât neuf'!$C$14/100&lt;140,140,(160+124)*'Saisie Bât neuf'!$C$14/100)</f>
        <v>142</v>
      </c>
      <c r="K6" s="51">
        <f>IF(160*'Saisie Bât neuf'!$C$15/100&lt;80,80,160*'Saisie Bât neuf'!$C$15/100)</f>
        <v>80</v>
      </c>
      <c r="L6" s="51">
        <f>IF((160+124)*'Saisie Bât neuf'!$C$15/100&lt;140,140,(160+124)*'Saisie Bât neuf'!$C$15/100)</f>
        <v>140</v>
      </c>
      <c r="M6" s="51">
        <f>IF(160*'Saisie Bât neuf'!$C$16/100&lt;80,80,160*'Saisie Bât neuf'!$C$16/100)</f>
        <v>80</v>
      </c>
      <c r="N6" s="51">
        <f>IF((160+124)*'Saisie Bât neuf'!$C$16/100&lt;140,140,(160+124)*'Saisie Bât neuf'!$C$16/100)</f>
        <v>140</v>
      </c>
      <c r="O6" s="51">
        <f>IF(160*'Saisie Bât neuf'!$C$17/100&lt;80,80,160*'Saisie Bât neuf'!$C$17/100)</f>
        <v>80</v>
      </c>
      <c r="P6" s="51">
        <f>IF((160+124)*'Saisie Bât neuf'!$C$17/100&lt;140,140,(160+124)*'Saisie Bât neuf'!$C$17/100)</f>
        <v>140</v>
      </c>
      <c r="Q6" s="51">
        <f>IF(160*'Saisie Bât neuf'!$C$18/100&lt;80,80,160*'Saisie Bât neuf'!$C$18/100)</f>
        <v>80</v>
      </c>
      <c r="R6" s="51">
        <f>IF((160+124)*'Saisie Bât neuf'!$C$18/100&lt;140,140,(160+124)*'Saisie Bât neuf'!$C$18/100)</f>
        <v>140</v>
      </c>
      <c r="S6" s="52"/>
      <c r="T6" s="52" t="s">
        <v>138</v>
      </c>
      <c r="U6" s="52"/>
      <c r="W6" s="215" t="s">
        <v>139</v>
      </c>
      <c r="X6" s="215"/>
      <c r="Y6" s="45">
        <f>'Saisie Bât neuf'!$C$6*'Saisie Bât neuf'!C15</f>
        <v>0</v>
      </c>
      <c r="Z6" s="46" t="e">
        <f>IF(OR('Saisie Bât neuf'!E15='calculs Bât neuf'!$BB$21,'Saisie Bât neuf'!E15='calculs Bât neuf'!$BB$23,'Saisie Bât neuf'!E15='calculs Bât neuf'!$BB$25,'Saisie Bât neuf'!E15='calculs Bât neuf'!$BB$28),$BD33*AH12,$BD33)</f>
        <v>#N/A</v>
      </c>
      <c r="AA6" s="45">
        <f>IF('Saisie Bât neuf'!F15='calculs Bât neuf'!$X$37,VLOOKUP('Saisie Bât neuf'!$C$3,'calculs Bât neuf'!$A$6:$R$67,10),VLOOKUP('Saisie Bât neuf'!$C$3,'calculs Bât neuf'!$A$6:$R$67,11))*AH12</f>
        <v>184</v>
      </c>
      <c r="AB6" s="46" t="e">
        <f>Y6-Z6-AA6</f>
        <v>#N/A</v>
      </c>
      <c r="AC6" s="45">
        <f>AC5</f>
        <v>0.8</v>
      </c>
      <c r="AD6" s="47">
        <f>VLOOKUP(AC6,$F$71:$O$76,6)</f>
        <v>0.4</v>
      </c>
      <c r="AE6" s="110" t="e">
        <f>VLOOKUP('Saisie Bât neuf'!D15,$AR$37:$AS$48,2)</f>
        <v>#N/A</v>
      </c>
      <c r="AF6" s="111" t="e">
        <f>IF('Saisie Bât neuf'!$C$7='calculs Bât neuf'!$X$44,'calculs Bât neuf'!$W$44,'calculs Bât neuf'!$W$45)*'Saisie Bât neuf'!C15*2.5*(19-VLOOKUP('Saisie Bât neuf'!$C$3,$A$6:$G$67,7))/AE6</f>
        <v>#N/A</v>
      </c>
      <c r="AG6" s="45" t="e">
        <f>IF('Saisie Bât neuf'!F15='calculs Bât neuf'!$X$37,'calculs Bât neuf'!AF6,AF6-AF6*AD6)</f>
        <v>#N/A</v>
      </c>
      <c r="AH6" s="45" t="e">
        <f>IF('Saisie Bât neuf'!$D15=$AR$37,AG6,IF('Saisie Bât neuf'!$D15=$AR$38,AG6,IF('Saisie Bât neuf'!$D15=$AR$39,AG6,IF('Saisie Bât neuf'!$D15=$AR$45,AG6,IF('Saisie Bât neuf'!$D15=$AR$46,AG6,IF('Saisie Bât neuf'!$D15=$AR$40,AG6*0.8+AG6*AH12*0.2,AG6*AH12))))))</f>
        <v>#N/A</v>
      </c>
      <c r="AI6" s="45">
        <f>IF('Saisie Bât neuf'!D15="pac air-air", VLOOKUP('Saisie Bât neuf'!$C$3,'calculs Bât neuf'!$A$6:$H$67,8)*8/100*'Saisie Bât neuf'!C15*30,0)</f>
        <v>0</v>
      </c>
      <c r="AJ6" s="45">
        <f t="shared" ref="AJ6:AJ8" si="1">AI6*$AH$12</f>
        <v>0</v>
      </c>
      <c r="AK6" s="46" t="e">
        <f>Z6+AA6+AH6+AJ6</f>
        <v>#N/A</v>
      </c>
      <c r="AL6" s="45" t="e">
        <f>AK6/'Saisie Bât neuf'!C15</f>
        <v>#N/A</v>
      </c>
      <c r="AM6" s="43" t="e">
        <f t="shared" ref="AM6:AM9" si="2">IF(AL6&lt;($AF$17+1),"A",IF(AL6&lt;($AF$18+1),"B",IF(AL6&lt;($AF$19+1),"C",IF(AL6&lt;($AF$20+1),"D",IF(AL6&lt;($AF$21+1),"E",IF(AL6&lt;($AF$22+1),"F",IF(AL6&gt;$AF$22,"G",0)))))))</f>
        <v>#N/A</v>
      </c>
      <c r="AN6" s="44" t="s">
        <v>140</v>
      </c>
      <c r="AO6" s="44" t="str">
        <f>VLOOKUP('Saisie Bât neuf'!D14,'calculs Bât neuf'!$AR$35:$AY$48,8,0)</f>
        <v>élec</v>
      </c>
      <c r="AP6" s="44" t="str">
        <f>VLOOKUP('Saisie Bât neuf'!E14,'calculs Bât neuf'!BB21:BN29,13,0)</f>
        <v>élec</v>
      </c>
      <c r="AQ6" s="44">
        <f>IF(AND(('Saisie Bât neuf'!K14+'Saisie Bât neuf'!L14)&gt;0,('calculs Bât neuf'!AO6="élec"),('Saisie Bât neuf'!C14&lt;70)),'Référence&amp;tarifs'!$A$8,IF(AND(('Saisie Bât neuf'!K14+'Saisie Bât neuf'!L14)&gt;0,('calculs Bât neuf'!AO6="élec"),('calculs Bât neuf'!AP6="élec"),('Saisie Bât neuf'!C14&gt;69)),'Référence&amp;tarifs'!$A$9,'Référence&amp;tarifs'!$A$7))</f>
        <v>9</v>
      </c>
      <c r="AR6" s="44">
        <f>VLOOKUP(AQ6,'Référence&amp;tarifs'!$A$6:$C$10,2,0)</f>
        <v>189.48</v>
      </c>
      <c r="AS6" s="44">
        <f>VLOOKUP(AQ6,'Référence&amp;tarifs'!$A$6:$C$10,3,0)</f>
        <v>0.25159999999999999</v>
      </c>
    </row>
    <row r="7" spans="1:64" x14ac:dyDescent="0.25">
      <c r="A7" s="44" t="s">
        <v>141</v>
      </c>
      <c r="B7" s="44">
        <v>47</v>
      </c>
      <c r="C7" s="44" t="s">
        <v>142</v>
      </c>
      <c r="D7" s="44">
        <f t="shared" si="0"/>
        <v>0.9</v>
      </c>
      <c r="E7" s="44">
        <f>IF('Saisie Bât neuf'!$C$4&gt;799,0.2,IF('Saisie Bât neuf'!$C$4&gt;399,0.1,0))</f>
        <v>0</v>
      </c>
      <c r="F7" s="44">
        <f>IF('Saisie Bât neuf'!$C$5="Non",50*(D7+E7),50*(D7+E7)+12)</f>
        <v>45</v>
      </c>
      <c r="G7" s="44">
        <v>-5</v>
      </c>
      <c r="H7" s="44">
        <f t="shared" ref="H7:H67" si="3">IF(OR(C7="H1a",C7="H1b",C7="H1c"),1,IF(OR(C7="H2a",C7="H2b",C7="H2c",C7="H2d"),2,IF(C7="H3",4,0)))</f>
        <v>2</v>
      </c>
      <c r="I7" s="51">
        <f>IF(160*'Saisie Bât neuf'!$C$14/100&lt;80,80,160*'Saisie Bât neuf'!$C$14/100)</f>
        <v>80</v>
      </c>
      <c r="J7" s="51">
        <f>IF((160+124)*'Saisie Bât neuf'!$C$14/100&lt;140,140,(160+124)*'Saisie Bât neuf'!$C$14/100)</f>
        <v>142</v>
      </c>
      <c r="K7" s="51">
        <f>IF(160*'Saisie Bât neuf'!$C$15/100&lt;80,80,160*'Saisie Bât neuf'!$C$15/100)</f>
        <v>80</v>
      </c>
      <c r="L7" s="51">
        <f>IF((160+124)*'Saisie Bât neuf'!$C$15/100&lt;140,140,(160+124)*'Saisie Bât neuf'!$C$15/100)</f>
        <v>140</v>
      </c>
      <c r="M7" s="51">
        <f>IF(160*'Saisie Bât neuf'!$C$16/100&lt;80,80,160*'Saisie Bât neuf'!$C$16/100)</f>
        <v>80</v>
      </c>
      <c r="N7" s="51">
        <f>IF((160+124)*'Saisie Bât neuf'!$C$16/100&lt;140,140,(160+124)*'Saisie Bât neuf'!$C$16/100)</f>
        <v>140</v>
      </c>
      <c r="O7" s="51">
        <f>IF(160*'Saisie Bât neuf'!$C$17/100&lt;80,80,160*'Saisie Bât neuf'!$C$17/100)</f>
        <v>80</v>
      </c>
      <c r="P7" s="51">
        <f>IF((160+124)*'Saisie Bât neuf'!$C$17/100&lt;140,140,(160+124)*'Saisie Bât neuf'!$C$17/100)</f>
        <v>140</v>
      </c>
      <c r="Q7" s="51">
        <f>IF(160*'Saisie Bât neuf'!$C$18/100&lt;80,80,160*'Saisie Bât neuf'!$C$18/100)</f>
        <v>80</v>
      </c>
      <c r="R7" s="51">
        <f>IF((160+124)*'Saisie Bât neuf'!$C$18/100&lt;140,140,(160+124)*'Saisie Bât neuf'!$C$18/100)</f>
        <v>140</v>
      </c>
      <c r="S7" s="52"/>
      <c r="T7" s="52" t="s">
        <v>143</v>
      </c>
      <c r="U7" s="52"/>
      <c r="W7" s="215" t="s">
        <v>144</v>
      </c>
      <c r="X7" s="215"/>
      <c r="Y7" s="45">
        <f>'Saisie Bât neuf'!$C$6*'Saisie Bât neuf'!C16</f>
        <v>0</v>
      </c>
      <c r="Z7" s="46" t="e">
        <f>IF(OR('Saisie Bât neuf'!E16='calculs Bât neuf'!$BB$21,'Saisie Bât neuf'!E16='calculs Bât neuf'!$BB$23,'Saisie Bât neuf'!E16='calculs Bât neuf'!$BB$25,'Saisie Bât neuf'!E16='calculs Bât neuf'!$BB$28),$BD34*AH12,$BD34)</f>
        <v>#N/A</v>
      </c>
      <c r="AA7" s="45">
        <f>IF('Saisie Bât neuf'!F16='calculs Bât neuf'!$X$37,VLOOKUP('Saisie Bât neuf'!$C$3,'calculs Bât neuf'!$A$6:$R$67,12),VLOOKUP('Saisie Bât neuf'!$C$3,'calculs Bât neuf'!$A$6:$R$67,13))*AH12</f>
        <v>184</v>
      </c>
      <c r="AB7" s="46" t="e">
        <f>Y7-Z7-AA7</f>
        <v>#N/A</v>
      </c>
      <c r="AC7" s="45">
        <f>AC6</f>
        <v>0.8</v>
      </c>
      <c r="AD7" s="47">
        <f>VLOOKUP(AC7,$F$71:$O$76,7)</f>
        <v>0.4</v>
      </c>
      <c r="AE7" s="110" t="e">
        <f>VLOOKUP('Saisie Bât neuf'!D16,$AR$37:$AS$48,2)</f>
        <v>#N/A</v>
      </c>
      <c r="AF7" s="111" t="e">
        <f>IF('Saisie Bât neuf'!$C$7='calculs Bât neuf'!$X$44,'calculs Bât neuf'!$W$44,'calculs Bât neuf'!$W$45)*'Saisie Bât neuf'!C16*2.5*(19-VLOOKUP('Saisie Bât neuf'!$C$3,$A$6:$G$67,7))/AE7</f>
        <v>#N/A</v>
      </c>
      <c r="AG7" s="45" t="e">
        <f>IF('Saisie Bât neuf'!F16='calculs Bât neuf'!$X$37,'calculs Bât neuf'!AF7,AF7-AF7*AD7)</f>
        <v>#N/A</v>
      </c>
      <c r="AH7" s="45" t="e">
        <f>IF('Saisie Bât neuf'!$D16=$AR$37,AG7,IF('Saisie Bât neuf'!$D16=$AR$38,AG7,IF('Saisie Bât neuf'!$D16=$AR$39,AG7,IF('Saisie Bât neuf'!$D16=$AR$45,AG7,IF('Saisie Bât neuf'!$D16=$AR$46,AG7,IF('Saisie Bât neuf'!$D16=$AR$40,AG7*0.8+AG7*AH12*0.2,AG7*AH12))))))</f>
        <v>#N/A</v>
      </c>
      <c r="AI7" s="45">
        <f>IF('Saisie Bât neuf'!D16="pac air-air", VLOOKUP('Saisie Bât neuf'!$C$3,'calculs Bât neuf'!$A$6:$H$67,8)*8/100*'Saisie Bât neuf'!C16*30,0)</f>
        <v>0</v>
      </c>
      <c r="AJ7" s="45">
        <f t="shared" si="1"/>
        <v>0</v>
      </c>
      <c r="AK7" s="46" t="e">
        <f t="shared" ref="AK7:AK9" si="4">Z7+AA7+AH7+AJ7</f>
        <v>#N/A</v>
      </c>
      <c r="AL7" s="45" t="e">
        <f>AK7/'Saisie Bât neuf'!C16</f>
        <v>#N/A</v>
      </c>
      <c r="AM7" s="43" t="e">
        <f t="shared" si="2"/>
        <v>#N/A</v>
      </c>
      <c r="AN7" s="44" t="s">
        <v>145</v>
      </c>
      <c r="AO7" s="44" t="e">
        <f>VLOOKUP('Saisie Bât neuf'!D15,'calculs Bât neuf'!$AR$35:$AY$48,8,0)</f>
        <v>#N/A</v>
      </c>
      <c r="AP7" s="44" t="e">
        <f>VLOOKUP('Saisie Bât neuf'!E15,'calculs Bât neuf'!BB21:BN29,13,0)</f>
        <v>#N/A</v>
      </c>
      <c r="AQ7" s="44" t="e">
        <f>IF(AND(('Saisie Bât neuf'!K15+'Saisie Bât neuf'!L15)&gt;0,('calculs Bât neuf'!AO7="éléc"),('Saisie Bât neuf'!C15&lt;70)),'Référence&amp;tarifs'!$A$8,IF(AND(('Saisie Bât neuf'!K15+'Saisie Bât neuf'!L15)&gt;0,('calculs Bât neuf'!AO7="éléc"),('calculs Bât neuf'!AP7="éléc"),('Saisie Bât neuf'!C15&gt;69)),'Référence&amp;tarifs'!$A$9,'Référence&amp;tarifs'!$A$7))</f>
        <v>#N/A</v>
      </c>
      <c r="AR7" s="44" t="e">
        <f>VLOOKUP(AQ7,'Référence&amp;tarifs'!$A$6:$C$10,2,0)</f>
        <v>#N/A</v>
      </c>
      <c r="AS7" s="44" t="e">
        <f>VLOOKUP(AQ7,'Référence&amp;tarifs'!$A$6:$C$10,3,0)</f>
        <v>#N/A</v>
      </c>
    </row>
    <row r="8" spans="1:64" x14ac:dyDescent="0.25">
      <c r="A8" s="44" t="s">
        <v>146</v>
      </c>
      <c r="B8" s="44">
        <v>61</v>
      </c>
      <c r="C8" s="44" t="s">
        <v>137</v>
      </c>
      <c r="D8" s="44">
        <f t="shared" si="0"/>
        <v>1.3</v>
      </c>
      <c r="E8" s="44">
        <f>IF('Saisie Bât neuf'!$C$4&gt;799,0.2,IF('Saisie Bât neuf'!$C$4&gt;399,0.1,0))</f>
        <v>0</v>
      </c>
      <c r="F8" s="44">
        <f>IF('Saisie Bât neuf'!$C$5="Non",50*(D8+E8),50*(D8+E8)+12)</f>
        <v>65</v>
      </c>
      <c r="G8" s="44">
        <v>-7</v>
      </c>
      <c r="H8" s="44">
        <f t="shared" si="3"/>
        <v>1</v>
      </c>
      <c r="I8" s="51">
        <f>IF(160*'Saisie Bât neuf'!$C$14/100&lt;80,80,160*'Saisie Bât neuf'!$C$14/100)</f>
        <v>80</v>
      </c>
      <c r="J8" s="51">
        <f>IF((160+124)*'Saisie Bât neuf'!$C$14/100&lt;140,140,(160+124)*'Saisie Bât neuf'!$C$14/100)</f>
        <v>142</v>
      </c>
      <c r="K8" s="51">
        <f>IF(160*'Saisie Bât neuf'!$C$15/100&lt;80,80,160*'Saisie Bât neuf'!$C$15/100)</f>
        <v>80</v>
      </c>
      <c r="L8" s="51">
        <f>IF((160+124)*'Saisie Bât neuf'!$C$15/100&lt;140,140,(160+124)*'Saisie Bât neuf'!$C$15/100)</f>
        <v>140</v>
      </c>
      <c r="M8" s="51">
        <f>IF(160*'Saisie Bât neuf'!$C$16/100&lt;80,80,160*'Saisie Bât neuf'!$C$16/100)</f>
        <v>80</v>
      </c>
      <c r="N8" s="51">
        <f>IF((160+124)*'Saisie Bât neuf'!$C$16/100&lt;140,140,(160+124)*'Saisie Bât neuf'!$C$16/100)</f>
        <v>140</v>
      </c>
      <c r="O8" s="51">
        <f>IF(160*'Saisie Bât neuf'!$C$17/100&lt;80,80,160*'Saisie Bât neuf'!$C$17/100)</f>
        <v>80</v>
      </c>
      <c r="P8" s="51">
        <f>IF((160+124)*'Saisie Bât neuf'!$C$17/100&lt;140,140,(160+124)*'Saisie Bât neuf'!$C$17/100)</f>
        <v>140</v>
      </c>
      <c r="Q8" s="51">
        <f>IF(160*'Saisie Bât neuf'!$C$18/100&lt;80,80,160*'Saisie Bât neuf'!$C$18/100)</f>
        <v>80</v>
      </c>
      <c r="R8" s="51">
        <f>IF((160+124)*'Saisie Bât neuf'!$C$18/100&lt;140,140,(160+124)*'Saisie Bât neuf'!$C$18/100)</f>
        <v>140</v>
      </c>
      <c r="S8" s="52"/>
      <c r="T8" s="52" t="s">
        <v>147</v>
      </c>
      <c r="U8" s="52"/>
      <c r="W8" s="215" t="s">
        <v>148</v>
      </c>
      <c r="X8" s="215"/>
      <c r="Y8" s="45">
        <f>'Saisie Bât neuf'!$C$6*'Saisie Bât neuf'!C17</f>
        <v>0</v>
      </c>
      <c r="Z8" s="46" t="e">
        <f>IF(OR('Saisie Bât neuf'!E17='calculs Bât neuf'!$BB$21,'Saisie Bât neuf'!E17='calculs Bât neuf'!$BB$23,'Saisie Bât neuf'!E17='calculs Bât neuf'!$BB$25,'Saisie Bât neuf'!E17='calculs Bât neuf'!$BB$28),$BD35*AH12,$BD35)</f>
        <v>#N/A</v>
      </c>
      <c r="AA8" s="45">
        <f>IF('Saisie Bât neuf'!F17='calculs Bât neuf'!$X$37,VLOOKUP('Saisie Bât neuf'!$C$3,'calculs Bât neuf'!$A$6:$R$67,14),VLOOKUP('Saisie Bât neuf'!$C$3,'calculs Bât neuf'!$A$6:$R$67,15))*AH12</f>
        <v>184</v>
      </c>
      <c r="AB8" s="46" t="e">
        <f>Y8-Z8-AA8</f>
        <v>#N/A</v>
      </c>
      <c r="AC8" s="45">
        <f>AC7</f>
        <v>0.8</v>
      </c>
      <c r="AD8" s="47">
        <f>VLOOKUP(AC8,$F$71:$O$76,8)</f>
        <v>0.4</v>
      </c>
      <c r="AE8" s="110" t="e">
        <f>VLOOKUP('Saisie Bât neuf'!D17,$AR$37:$AS$48,2)</f>
        <v>#N/A</v>
      </c>
      <c r="AF8" s="111" t="e">
        <f>IF('Saisie Bât neuf'!$C$7='calculs Bât neuf'!$X$44,'calculs Bât neuf'!$W$44,'calculs Bât neuf'!$W$45)*'Saisie Bât neuf'!C17*2.5*(19-VLOOKUP('Saisie Bât neuf'!$C$3,$A$6:$G$67,7))/AE8</f>
        <v>#N/A</v>
      </c>
      <c r="AG8" s="45" t="e">
        <f>IF('Saisie Bât neuf'!F17='calculs Bât neuf'!$X$37,'calculs Bât neuf'!AF8,AF8-AF8*AD8)</f>
        <v>#N/A</v>
      </c>
      <c r="AH8" s="45" t="e">
        <f>IF('Saisie Bât neuf'!$D17=$AR$37,AG8,IF('Saisie Bât neuf'!$D17=$AR$38,AG8,IF('Saisie Bât neuf'!$D17=$AR$39,AG8,IF('Saisie Bât neuf'!$D17=$AR$45,AG8,IF('Saisie Bât neuf'!$D17=$AR$46,AG8,IF('Saisie Bât neuf'!$D17=$AR$40,AG8*0.8+AG8*AH12*0.2,AG8*AH12))))))</f>
        <v>#N/A</v>
      </c>
      <c r="AI8" s="45">
        <f>IF('Saisie Bât neuf'!D17="pac air-air", VLOOKUP('Saisie Bât neuf'!$C$3,'calculs Bât neuf'!$A$6:$H$67,8)*8/100*'Saisie Bât neuf'!C17*30,0)</f>
        <v>0</v>
      </c>
      <c r="AJ8" s="45">
        <f t="shared" si="1"/>
        <v>0</v>
      </c>
      <c r="AK8" s="46" t="e">
        <f t="shared" si="4"/>
        <v>#N/A</v>
      </c>
      <c r="AL8" s="45" t="e">
        <f>AK8/'Saisie Bât neuf'!C17</f>
        <v>#N/A</v>
      </c>
      <c r="AM8" s="43" t="e">
        <f t="shared" si="2"/>
        <v>#N/A</v>
      </c>
      <c r="AN8" s="44" t="s">
        <v>149</v>
      </c>
      <c r="AO8" s="44" t="e">
        <f>VLOOKUP('Saisie Bât neuf'!D16,'calculs Bât neuf'!$AR$35:$AY$48,8,0)</f>
        <v>#N/A</v>
      </c>
      <c r="AP8" s="44" t="e">
        <f>VLOOKUP('Saisie Bât neuf'!E16,'calculs Bât neuf'!BB21:BN29,13,0)</f>
        <v>#N/A</v>
      </c>
      <c r="AQ8" s="44" t="e">
        <f>IF(AND(('Saisie Bât neuf'!K16+'Saisie Bât neuf'!L16)&gt;0,('calculs Bât neuf'!AO8="éléc"),('Saisie Bât neuf'!C16&lt;70)),'Référence&amp;tarifs'!$A$8,IF(AND(('Saisie Bât neuf'!K16+'Saisie Bât neuf'!L16)&gt;0,('calculs Bât neuf'!AO8="éléc"),('calculs Bât neuf'!AP8="éléc"),('Saisie Bât neuf'!C16&gt;69)),'Référence&amp;tarifs'!$A$9,'Référence&amp;tarifs'!$A$7))</f>
        <v>#N/A</v>
      </c>
      <c r="AR8" s="44" t="e">
        <f>VLOOKUP(AQ8,'Référence&amp;tarifs'!$A$6:$C$10,2,0)</f>
        <v>#N/A</v>
      </c>
      <c r="AS8" s="44" t="e">
        <f>VLOOKUP(AQ8,'Référence&amp;tarifs'!$A$6:$C$10,3,0)</f>
        <v>#N/A</v>
      </c>
      <c r="BC8" s="217" t="s">
        <v>140</v>
      </c>
      <c r="BD8" s="217"/>
      <c r="BE8" s="217" t="s">
        <v>145</v>
      </c>
      <c r="BF8" s="217"/>
      <c r="BG8" s="217" t="s">
        <v>149</v>
      </c>
      <c r="BH8" s="217"/>
      <c r="BI8" s="217" t="s">
        <v>150</v>
      </c>
      <c r="BJ8" s="217"/>
      <c r="BK8" s="217" t="s">
        <v>151</v>
      </c>
      <c r="BL8" s="217"/>
    </row>
    <row r="9" spans="1:64" x14ac:dyDescent="0.25">
      <c r="A9" s="44" t="s">
        <v>152</v>
      </c>
      <c r="B9" s="44">
        <v>1</v>
      </c>
      <c r="C9" s="44" t="s">
        <v>153</v>
      </c>
      <c r="D9" s="44">
        <f t="shared" si="0"/>
        <v>1.2</v>
      </c>
      <c r="E9" s="44">
        <f>IF('Saisie Bât neuf'!$C$4&gt;799,0.2,IF('Saisie Bât neuf'!$C$4&gt;399,0.1,0))</f>
        <v>0</v>
      </c>
      <c r="F9" s="44">
        <f>IF('Saisie Bât neuf'!$C$5="Non",50*(D9+E9),50*(D9+E9)+12)</f>
        <v>60</v>
      </c>
      <c r="G9" s="44">
        <v>-10</v>
      </c>
      <c r="H9" s="44">
        <f t="shared" si="3"/>
        <v>1</v>
      </c>
      <c r="I9" s="51">
        <f>IF(160*'Saisie Bât neuf'!$C$14/100&lt;80,80,160*'Saisie Bât neuf'!$C$14/100)</f>
        <v>80</v>
      </c>
      <c r="J9" s="51">
        <f>IF((160+124)*'Saisie Bât neuf'!$C$14/100&lt;140,140,(160+124)*'Saisie Bât neuf'!$C$14/100)</f>
        <v>142</v>
      </c>
      <c r="K9" s="51">
        <f>IF(160*'Saisie Bât neuf'!$C$15/100&lt;80,80,160*'Saisie Bât neuf'!$C$15/100)</f>
        <v>80</v>
      </c>
      <c r="L9" s="51">
        <f>IF((160+124)*'Saisie Bât neuf'!$C$15/100&lt;140,140,(160+124)*'Saisie Bât neuf'!$C$15/100)</f>
        <v>140</v>
      </c>
      <c r="M9" s="51">
        <f>IF(160*'Saisie Bât neuf'!$C$16/100&lt;80,80,160*'Saisie Bât neuf'!$C$16/100)</f>
        <v>80</v>
      </c>
      <c r="N9" s="51">
        <f>IF((160+124)*'Saisie Bât neuf'!$C$16/100&lt;140,140,(160+124)*'Saisie Bât neuf'!$C$16/100)</f>
        <v>140</v>
      </c>
      <c r="O9" s="51">
        <f>IF(160*'Saisie Bât neuf'!$C$17/100&lt;80,80,160*'Saisie Bât neuf'!$C$17/100)</f>
        <v>80</v>
      </c>
      <c r="P9" s="51">
        <f>IF((160+124)*'Saisie Bât neuf'!$C$17/100&lt;140,140,(160+124)*'Saisie Bât neuf'!$C$17/100)</f>
        <v>140</v>
      </c>
      <c r="Q9" s="51">
        <f>IF(160*'Saisie Bât neuf'!$C$18/100&lt;80,80,160*'Saisie Bât neuf'!$C$18/100)</f>
        <v>80</v>
      </c>
      <c r="R9" s="51">
        <f>IF((160+124)*'Saisie Bât neuf'!$C$18/100&lt;140,140,(160+124)*'Saisie Bât neuf'!$C$18/100)</f>
        <v>140</v>
      </c>
      <c r="S9" s="52"/>
      <c r="T9" s="52" t="s">
        <v>154</v>
      </c>
      <c r="U9" s="52"/>
      <c r="W9" s="215" t="s">
        <v>155</v>
      </c>
      <c r="X9" s="215"/>
      <c r="Y9" s="45">
        <f>'Saisie Bât neuf'!$C$6*'Saisie Bât neuf'!C18</f>
        <v>0</v>
      </c>
      <c r="Z9" s="46" t="e">
        <f>IF(OR('Saisie Bât neuf'!E18='calculs Bât neuf'!$BB$21,'Saisie Bât neuf'!E18='calculs Bât neuf'!$BB$23,'Saisie Bât neuf'!E18='calculs Bât neuf'!$BB$25,'Saisie Bât neuf'!E18='calculs Bât neuf'!$BB$28),$BD36*AH12,$BD36)</f>
        <v>#N/A</v>
      </c>
      <c r="AA9" s="45">
        <f>IF('Saisie Bât neuf'!F18='calculs Bât neuf'!$X$37,VLOOKUP('Saisie Bât neuf'!$C$3,'calculs Bât neuf'!$A$6:$R$67,16),VLOOKUP('Saisie Bât neuf'!$C$3,'calculs Bât neuf'!$A$6:$R$67,17))*AH12</f>
        <v>184</v>
      </c>
      <c r="AB9" s="46" t="e">
        <f>Y9-Z9-AA9</f>
        <v>#N/A</v>
      </c>
      <c r="AC9" s="45">
        <f>AC8</f>
        <v>0.8</v>
      </c>
      <c r="AD9" s="47">
        <f>VLOOKUP(AC9,$F$71:$O$76,9)</f>
        <v>0.4</v>
      </c>
      <c r="AE9" s="110" t="e">
        <f>VLOOKUP('Saisie Bât neuf'!D18,$AR$37:$AS$48,2)</f>
        <v>#N/A</v>
      </c>
      <c r="AF9" s="111" t="e">
        <f>IF('Saisie Bât neuf'!$C$7='calculs Bât neuf'!$X$44,'calculs Bât neuf'!$W$44,'calculs Bât neuf'!$W$45)*'Saisie Bât neuf'!C18*2.5*(19-VLOOKUP('Saisie Bât neuf'!$C$3,$A$6:$G$67,7))/AE9</f>
        <v>#N/A</v>
      </c>
      <c r="AG9" s="45" t="e">
        <f>IF('Saisie Bât neuf'!F18='calculs Bât neuf'!$X$37,'calculs Bât neuf'!AF9,AF9-AF9*AD9)</f>
        <v>#N/A</v>
      </c>
      <c r="AH9" s="45" t="e">
        <f>IF('Saisie Bât neuf'!$D18=$AR$37,AG9,IF('Saisie Bât neuf'!$D18=$AR$38,AG9,IF('Saisie Bât neuf'!$D18=$AR$39,AG9,IF('Saisie Bât neuf'!$D18=$AR$45,AG9,IF('Saisie Bât neuf'!$D18=$AR$46,AG9,IF('Saisie Bât neuf'!$D18=$AR$40,AG9*0.8+AG9*AH12*0.2,AG9*AH12))))))</f>
        <v>#N/A</v>
      </c>
      <c r="AI9" s="45">
        <f>IF('Saisie Bât neuf'!D18="pac air-air", VLOOKUP('Saisie Bât neuf'!$C$3,'calculs Bât neuf'!$A$6:$H$67,8)*8/100*'Saisie Bât neuf'!C18*30,0)</f>
        <v>0</v>
      </c>
      <c r="AJ9" s="45">
        <f>AI9*$AH$12</f>
        <v>0</v>
      </c>
      <c r="AK9" s="46" t="e">
        <f t="shared" si="4"/>
        <v>#N/A</v>
      </c>
      <c r="AL9" s="45" t="e">
        <f>AK9/'Saisie Bât neuf'!C18</f>
        <v>#N/A</v>
      </c>
      <c r="AM9" s="43" t="e">
        <f t="shared" si="2"/>
        <v>#N/A</v>
      </c>
      <c r="AN9" s="44" t="s">
        <v>150</v>
      </c>
      <c r="AO9" s="44" t="e">
        <f>VLOOKUP('Saisie Bât neuf'!D17,'calculs Bât neuf'!$AR$35:$AY$48,8,0)</f>
        <v>#N/A</v>
      </c>
      <c r="AP9" s="44" t="e">
        <f>VLOOKUP('Saisie Bât neuf'!E17,'calculs Bât neuf'!BB21:BN29,13,0)</f>
        <v>#N/A</v>
      </c>
      <c r="AQ9" s="44" t="e">
        <f>IF(AND(('Saisie Bât neuf'!K17+'Saisie Bât neuf'!L17)&gt;0,('calculs Bât neuf'!AO9="éléc"),('Saisie Bât neuf'!C17&lt;70)),'Référence&amp;tarifs'!$A$8,IF(AND(('Saisie Bât neuf'!K17+'Saisie Bât neuf'!L17)&gt;0,('calculs Bât neuf'!AO9="éléc"),('calculs Bât neuf'!AP9="éléc"),('Saisie Bât neuf'!C17&gt;69)),'Référence&amp;tarifs'!$A$9,'Référence&amp;tarifs'!$A$7))</f>
        <v>#N/A</v>
      </c>
      <c r="AR9" s="44" t="e">
        <f>VLOOKUP(AQ9,'Référence&amp;tarifs'!$A$6:$C$10,2,0)</f>
        <v>#N/A</v>
      </c>
      <c r="AS9" s="44" t="e">
        <f>VLOOKUP(AQ9,'Référence&amp;tarifs'!$A$6:$C$10,3,0)</f>
        <v>#N/A</v>
      </c>
      <c r="BA9" s="53" t="s">
        <v>156</v>
      </c>
      <c r="BB9" s="54"/>
      <c r="BC9" s="53"/>
      <c r="BD9" s="54"/>
      <c r="BE9" s="55"/>
      <c r="BF9" s="56"/>
      <c r="BG9" s="55"/>
      <c r="BH9" s="56"/>
      <c r="BI9" s="55"/>
      <c r="BJ9" s="56"/>
      <c r="BK9" s="55"/>
      <c r="BL9" s="56"/>
    </row>
    <row r="10" spans="1:64" x14ac:dyDescent="0.25">
      <c r="A10" s="44" t="s">
        <v>157</v>
      </c>
      <c r="B10" s="44">
        <v>49</v>
      </c>
      <c r="C10" s="44" t="s">
        <v>158</v>
      </c>
      <c r="D10" s="44">
        <f t="shared" si="0"/>
        <v>1</v>
      </c>
      <c r="E10" s="44">
        <f>IF('Saisie Bât neuf'!$C$4&gt;799,0.2,IF('Saisie Bât neuf'!$C$4&gt;399,0.1,0))</f>
        <v>0</v>
      </c>
      <c r="F10" s="44">
        <f>IF('Saisie Bât neuf'!$C$5="Non",50*(D10+E10),50*(D10+E10)+12)</f>
        <v>50</v>
      </c>
      <c r="G10" s="44">
        <v>-7</v>
      </c>
      <c r="H10" s="44">
        <f t="shared" si="3"/>
        <v>2</v>
      </c>
      <c r="I10" s="51">
        <f>IF(160*'Saisie Bât neuf'!$C$14/100&lt;80,80,160*'Saisie Bât neuf'!$C$14/100)</f>
        <v>80</v>
      </c>
      <c r="J10" s="51">
        <f>IF((160+124)*'Saisie Bât neuf'!$C$14/100&lt;140,140,(160+124)*'Saisie Bât neuf'!$C$14/100)</f>
        <v>142</v>
      </c>
      <c r="K10" s="51">
        <f>IF(160*'Saisie Bât neuf'!$C$15/100&lt;80,80,160*'Saisie Bât neuf'!$C$15/100)</f>
        <v>80</v>
      </c>
      <c r="L10" s="51">
        <f>IF((160+124)*'Saisie Bât neuf'!$C$15/100&lt;140,140,(160+124)*'Saisie Bât neuf'!$C$15/100)</f>
        <v>140</v>
      </c>
      <c r="M10" s="51">
        <f>IF(160*'Saisie Bât neuf'!$C$16/100&lt;80,80,160*'Saisie Bât neuf'!$C$16/100)</f>
        <v>80</v>
      </c>
      <c r="N10" s="51">
        <f>IF((160+124)*'Saisie Bât neuf'!$C$16/100&lt;140,140,(160+124)*'Saisie Bât neuf'!$C$16/100)</f>
        <v>140</v>
      </c>
      <c r="O10" s="51">
        <f>IF(160*'Saisie Bât neuf'!$C$17/100&lt;80,80,160*'Saisie Bât neuf'!$C$17/100)</f>
        <v>80</v>
      </c>
      <c r="P10" s="51">
        <f>IF((160+124)*'Saisie Bât neuf'!$C$17/100&lt;140,140,(160+124)*'Saisie Bât neuf'!$C$17/100)</f>
        <v>140</v>
      </c>
      <c r="Q10" s="51">
        <f>IF(160*'Saisie Bât neuf'!$C$18/100&lt;80,80,160*'Saisie Bât neuf'!$C$18/100)</f>
        <v>80</v>
      </c>
      <c r="R10" s="51">
        <f>IF((160+124)*'Saisie Bât neuf'!$C$18/100&lt;140,140,(160+124)*'Saisie Bât neuf'!$C$18/100)</f>
        <v>140</v>
      </c>
      <c r="S10" s="52"/>
      <c r="T10" s="52"/>
      <c r="U10" s="52"/>
      <c r="AN10" s="44" t="s">
        <v>151</v>
      </c>
      <c r="AO10" s="44" t="e">
        <f>VLOOKUP('Saisie Bât neuf'!D18,'calculs Bât neuf'!$AR$35:$AY$48,8,0)</f>
        <v>#N/A</v>
      </c>
      <c r="AP10" s="44" t="e">
        <f>VLOOKUP('Saisie Bât neuf'!E18,'calculs Bât neuf'!BB21:BN29,13,0)</f>
        <v>#N/A</v>
      </c>
      <c r="AQ10" s="44" t="e">
        <f>IF(AND(('Saisie Bât neuf'!K18+'Saisie Bât neuf'!L18)&gt;0,('calculs Bât neuf'!AO10="éléc"),('Saisie Bât neuf'!C18&lt;70)),'Référence&amp;tarifs'!$A$8,IF(AND(('Saisie Bât neuf'!K18+'Saisie Bât neuf'!L18)&gt;0,('calculs Bât neuf'!AO10="éléc"),('calculs Bât neuf'!AP10="éléc"),('Saisie Bât neuf'!C18&gt;69)),'Référence&amp;tarifs'!$A$9,'Référence&amp;tarifs'!$A$7))</f>
        <v>#N/A</v>
      </c>
      <c r="AR10" s="44" t="e">
        <f>VLOOKUP(AQ10,'Référence&amp;tarifs'!$A$6:$C$10,2,0)</f>
        <v>#N/A</v>
      </c>
      <c r="AS10" s="44" t="e">
        <f>VLOOKUP(AQ10,'Référence&amp;tarifs'!$A$6:$C$10,3,0)</f>
        <v>#N/A</v>
      </c>
      <c r="BA10" s="57" t="s">
        <v>159</v>
      </c>
      <c r="BB10" s="58" t="s">
        <v>160</v>
      </c>
      <c r="BC10" s="57" t="s">
        <v>161</v>
      </c>
      <c r="BD10" s="59" t="s">
        <v>162</v>
      </c>
      <c r="BE10" s="57" t="s">
        <v>161</v>
      </c>
      <c r="BF10" s="59" t="s">
        <v>162</v>
      </c>
      <c r="BG10" s="57" t="s">
        <v>161</v>
      </c>
      <c r="BH10" s="59" t="s">
        <v>162</v>
      </c>
      <c r="BI10" s="57" t="s">
        <v>161</v>
      </c>
      <c r="BJ10" s="59" t="s">
        <v>162</v>
      </c>
      <c r="BK10" s="57" t="s">
        <v>161</v>
      </c>
      <c r="BL10" s="59" t="s">
        <v>162</v>
      </c>
    </row>
    <row r="11" spans="1:64" x14ac:dyDescent="0.25">
      <c r="A11" s="44" t="s">
        <v>163</v>
      </c>
      <c r="B11" s="44">
        <v>89</v>
      </c>
      <c r="C11" s="44" t="s">
        <v>153</v>
      </c>
      <c r="D11" s="44">
        <f t="shared" si="0"/>
        <v>1.2</v>
      </c>
      <c r="E11" s="44">
        <f>IF('Saisie Bât neuf'!$C$4&gt;799,0.2,IF('Saisie Bât neuf'!$C$4&gt;399,0.1,0))</f>
        <v>0</v>
      </c>
      <c r="F11" s="44">
        <f>IF('Saisie Bât neuf'!$C$5="Non",50*(D11+E11),50*(D11+E11)+12)</f>
        <v>60</v>
      </c>
      <c r="G11" s="44">
        <v>-10</v>
      </c>
      <c r="H11" s="44">
        <f t="shared" si="3"/>
        <v>1</v>
      </c>
      <c r="I11" s="51">
        <f>IF(160*'Saisie Bât neuf'!$C$14/100&lt;80,80,160*'Saisie Bât neuf'!$C$14/100)</f>
        <v>80</v>
      </c>
      <c r="J11" s="51">
        <f>IF((160+124)*'Saisie Bât neuf'!$C$14/100&lt;140,140,(160+124)*'Saisie Bât neuf'!$C$14/100)</f>
        <v>142</v>
      </c>
      <c r="K11" s="51">
        <f>IF(160*'Saisie Bât neuf'!$C$15/100&lt;80,80,160*'Saisie Bât neuf'!$C$15/100)</f>
        <v>80</v>
      </c>
      <c r="L11" s="51">
        <f>IF((160+124)*'Saisie Bât neuf'!$C$15/100&lt;140,140,(160+124)*'Saisie Bât neuf'!$C$15/100)</f>
        <v>140</v>
      </c>
      <c r="M11" s="51">
        <f>IF(160*'Saisie Bât neuf'!$C$16/100&lt;80,80,160*'Saisie Bât neuf'!$C$16/100)</f>
        <v>80</v>
      </c>
      <c r="N11" s="51">
        <f>IF((160+124)*'Saisie Bât neuf'!$C$16/100&lt;140,140,(160+124)*'Saisie Bât neuf'!$C$16/100)</f>
        <v>140</v>
      </c>
      <c r="O11" s="51">
        <f>IF(160*'Saisie Bât neuf'!$C$17/100&lt;80,80,160*'Saisie Bât neuf'!$C$17/100)</f>
        <v>80</v>
      </c>
      <c r="P11" s="51">
        <f>IF((160+124)*'Saisie Bât neuf'!$C$17/100&lt;140,140,(160+124)*'Saisie Bât neuf'!$C$17/100)</f>
        <v>140</v>
      </c>
      <c r="Q11" s="51">
        <f>IF(160*'Saisie Bât neuf'!$C$18/100&lt;80,80,160*'Saisie Bât neuf'!$C$18/100)</f>
        <v>80</v>
      </c>
      <c r="R11" s="51">
        <f>IF((160+124)*'Saisie Bât neuf'!$C$18/100&lt;140,140,(160+124)*'Saisie Bât neuf'!$C$18/100)</f>
        <v>140</v>
      </c>
      <c r="S11" s="52"/>
      <c r="T11" s="52" t="s">
        <v>164</v>
      </c>
      <c r="U11" s="52"/>
      <c r="AN11" s="44"/>
      <c r="AO11" s="44"/>
      <c r="AP11" s="44"/>
      <c r="AQ11" s="44"/>
      <c r="AR11" s="44"/>
      <c r="AS11" s="44"/>
      <c r="BA11" s="60" t="s">
        <v>165</v>
      </c>
      <c r="BB11" s="61">
        <v>13</v>
      </c>
      <c r="BC11" s="62">
        <f>IF('Saisie Bât neuf'!$K14+'Saisie Bât neuf'!$L14&gt;0,$BB$11+2*('Saisie Bât neuf'!$K14+'Saisie Bât neuf'!$L14-1),0)</f>
        <v>17</v>
      </c>
      <c r="BD11" s="63">
        <f>BC11*'Saisie Bât neuf'!$C$8</f>
        <v>85</v>
      </c>
      <c r="BE11" s="62">
        <f>IF('Saisie Bât neuf'!$K15+'Saisie Bât neuf'!$L15&gt;0,$BB$11+2*('Saisie Bât neuf'!$K15+'Saisie Bât neuf'!$L15-1),0)</f>
        <v>0</v>
      </c>
      <c r="BF11" s="63">
        <f>BE11*'Saisie Bât neuf'!$C$8</f>
        <v>0</v>
      </c>
      <c r="BG11" s="62">
        <f>IF('Saisie Bât neuf'!$K16+'Saisie Bât neuf'!$L16&gt;0,$BB$11+2*('Saisie Bât neuf'!$K16+'Saisie Bât neuf'!$L16-1),0)</f>
        <v>0</v>
      </c>
      <c r="BH11" s="63">
        <f>BG11*'Saisie Bât neuf'!$C$8</f>
        <v>0</v>
      </c>
      <c r="BI11" s="64">
        <f>IF('Saisie Bât neuf'!K17+'Saisie Bât neuf'!L17&gt;0,BB11+2*('Saisie Bât neuf'!K17+'Saisie Bât neuf'!L17-1),0)</f>
        <v>0</v>
      </c>
      <c r="BJ11" s="65">
        <f>BI11*'Saisie Bât neuf'!$C$8</f>
        <v>0</v>
      </c>
      <c r="BK11" s="64">
        <f>IF('Saisie Bât neuf'!K18+'Saisie Bât neuf'!L18&gt;0,BB11+2*('Saisie Bât neuf'!K18+'Saisie Bât neuf'!L18-1),0)</f>
        <v>0</v>
      </c>
      <c r="BL11" s="65">
        <f>BK11*'Saisie Bât neuf'!$C$8</f>
        <v>0</v>
      </c>
    </row>
    <row r="12" spans="1:64" x14ac:dyDescent="0.25">
      <c r="A12" s="44" t="s">
        <v>166</v>
      </c>
      <c r="B12" s="44">
        <v>60</v>
      </c>
      <c r="C12" s="44" t="s">
        <v>137</v>
      </c>
      <c r="D12" s="44">
        <f t="shared" si="0"/>
        <v>1.3</v>
      </c>
      <c r="E12" s="44">
        <f>IF('Saisie Bât neuf'!$C$4&gt;799,0.2,IF('Saisie Bât neuf'!$C$4&gt;399,0.1,0))</f>
        <v>0</v>
      </c>
      <c r="F12" s="44">
        <f>IF('Saisie Bât neuf'!$C$5="Non",50*(D12+E12),50*(D12+E12)+12)</f>
        <v>65</v>
      </c>
      <c r="G12" s="44">
        <v>-7</v>
      </c>
      <c r="H12" s="44">
        <f t="shared" si="3"/>
        <v>1</v>
      </c>
      <c r="I12" s="51">
        <f>IF(160*'Saisie Bât neuf'!$C$14/100&lt;80,80,160*'Saisie Bât neuf'!$C$14/100)</f>
        <v>80</v>
      </c>
      <c r="J12" s="51">
        <f>IF((160+124)*'Saisie Bât neuf'!$C$14/100&lt;140,140,(160+124)*'Saisie Bât neuf'!$C$14/100)</f>
        <v>142</v>
      </c>
      <c r="K12" s="51">
        <f>IF(160*'Saisie Bât neuf'!$C$15/100&lt;80,80,160*'Saisie Bât neuf'!$C$15/100)</f>
        <v>80</v>
      </c>
      <c r="L12" s="51">
        <f>IF((160+124)*'Saisie Bât neuf'!$C$15/100&lt;140,140,(160+124)*'Saisie Bât neuf'!$C$15/100)</f>
        <v>140</v>
      </c>
      <c r="M12" s="51">
        <f>IF(160*'Saisie Bât neuf'!$C$16/100&lt;80,80,160*'Saisie Bât neuf'!$C$16/100)</f>
        <v>80</v>
      </c>
      <c r="N12" s="51">
        <f>IF((160+124)*'Saisie Bât neuf'!$C$16/100&lt;140,140,(160+124)*'Saisie Bât neuf'!$C$16/100)</f>
        <v>140</v>
      </c>
      <c r="O12" s="51">
        <f>IF(160*'Saisie Bât neuf'!$C$17/100&lt;80,80,160*'Saisie Bât neuf'!$C$17/100)</f>
        <v>80</v>
      </c>
      <c r="P12" s="51">
        <f>IF((160+124)*'Saisie Bât neuf'!$C$17/100&lt;140,140,(160+124)*'Saisie Bât neuf'!$C$17/100)</f>
        <v>140</v>
      </c>
      <c r="Q12" s="51">
        <f>IF(160*'Saisie Bât neuf'!$C$18/100&lt;80,80,160*'Saisie Bât neuf'!$C$18/100)</f>
        <v>80</v>
      </c>
      <c r="R12" s="51">
        <f>IF((160+124)*'Saisie Bât neuf'!$C$18/100&lt;140,140,(160+124)*'Saisie Bât neuf'!$C$18/100)</f>
        <v>140</v>
      </c>
      <c r="S12" s="52"/>
      <c r="T12" s="52" t="s">
        <v>167</v>
      </c>
      <c r="U12" s="52"/>
      <c r="X12" s="43" t="s">
        <v>389</v>
      </c>
      <c r="AE12" s="43" t="s">
        <v>390</v>
      </c>
      <c r="AH12" s="43">
        <v>2.2999999999999998</v>
      </c>
      <c r="BA12" s="66" t="s">
        <v>168</v>
      </c>
      <c r="BB12" s="67">
        <v>5</v>
      </c>
      <c r="BC12" s="62">
        <f>('Saisie Bât neuf'!$K14+'Saisie Bât neuf'!$L14)*$BB$12</f>
        <v>15</v>
      </c>
      <c r="BD12" s="63">
        <f>BC12*'Saisie Bât neuf'!$C$8</f>
        <v>75</v>
      </c>
      <c r="BE12" s="62">
        <f>('Saisie Bât neuf'!$K15+'Saisie Bât neuf'!$L15)*$BB$12</f>
        <v>0</v>
      </c>
      <c r="BF12" s="63">
        <f>BE12*'Saisie Bât neuf'!$C$8</f>
        <v>0</v>
      </c>
      <c r="BG12" s="62">
        <f>('Saisie Bât neuf'!$K16+'Saisie Bât neuf'!$L16)*$BB$12</f>
        <v>0</v>
      </c>
      <c r="BH12" s="63">
        <f>BG12*'Saisie Bât neuf'!$C$8</f>
        <v>0</v>
      </c>
      <c r="BI12" s="64">
        <f>('Saisie Bât neuf'!K17+'Saisie Bât neuf'!L17)*BB12</f>
        <v>0</v>
      </c>
      <c r="BJ12" s="65">
        <f>BI12*'Saisie Bât neuf'!$C$8</f>
        <v>0</v>
      </c>
      <c r="BK12" s="64">
        <f>('Saisie Bât neuf'!K18+'Saisie Bât neuf'!L18)*BB12</f>
        <v>0</v>
      </c>
      <c r="BL12" s="65">
        <f>BK12*'Saisie Bât neuf'!$C$8</f>
        <v>0</v>
      </c>
    </row>
    <row r="13" spans="1:64" x14ac:dyDescent="0.25">
      <c r="A13" s="44" t="s">
        <v>169</v>
      </c>
      <c r="B13" s="44">
        <v>25</v>
      </c>
      <c r="C13" s="44" t="s">
        <v>153</v>
      </c>
      <c r="D13" s="44">
        <f t="shared" si="0"/>
        <v>1.2</v>
      </c>
      <c r="E13" s="44">
        <f>IF('Saisie Bât neuf'!$C$4&gt;799,0.2,IF('Saisie Bât neuf'!$C$4&gt;399,0.1,0))</f>
        <v>0</v>
      </c>
      <c r="F13" s="44">
        <f>IF('Saisie Bât neuf'!$C$5="Non",50*(D13+E13),50*(D13+E13)+12)</f>
        <v>60</v>
      </c>
      <c r="G13" s="44">
        <v>-12</v>
      </c>
      <c r="H13" s="44">
        <f t="shared" si="3"/>
        <v>1</v>
      </c>
      <c r="I13" s="51">
        <f>IF(160*'Saisie Bât neuf'!$C$14/100&lt;80,80,160*'Saisie Bât neuf'!$C$14/100)</f>
        <v>80</v>
      </c>
      <c r="J13" s="51">
        <f>IF((160+124)*'Saisie Bât neuf'!$C$14/100&lt;140,140,(160+124)*'Saisie Bât neuf'!$C$14/100)</f>
        <v>142</v>
      </c>
      <c r="K13" s="51">
        <f>IF(160*'Saisie Bât neuf'!$C$15/100&lt;80,80,160*'Saisie Bât neuf'!$C$15/100)</f>
        <v>80</v>
      </c>
      <c r="L13" s="51">
        <f>IF((160+124)*'Saisie Bât neuf'!$C$15/100&lt;140,140,(160+124)*'Saisie Bât neuf'!$C$15/100)</f>
        <v>140</v>
      </c>
      <c r="M13" s="51">
        <f>IF(160*'Saisie Bât neuf'!$C$16/100&lt;80,80,160*'Saisie Bât neuf'!$C$16/100)</f>
        <v>80</v>
      </c>
      <c r="N13" s="51">
        <f>IF((160+124)*'Saisie Bât neuf'!$C$16/100&lt;140,140,(160+124)*'Saisie Bât neuf'!$C$16/100)</f>
        <v>140</v>
      </c>
      <c r="O13" s="51">
        <f>IF(160*'Saisie Bât neuf'!$C$17/100&lt;80,80,160*'Saisie Bât neuf'!$C$17/100)</f>
        <v>80</v>
      </c>
      <c r="P13" s="51">
        <f>IF((160+124)*'Saisie Bât neuf'!$C$17/100&lt;140,140,(160+124)*'Saisie Bât neuf'!$C$17/100)</f>
        <v>140</v>
      </c>
      <c r="Q13" s="51">
        <f>IF(160*'Saisie Bât neuf'!$C$18/100&lt;80,80,160*'Saisie Bât neuf'!$C$18/100)</f>
        <v>80</v>
      </c>
      <c r="R13" s="51">
        <f>IF((160+124)*'Saisie Bât neuf'!$C$18/100&lt;140,140,(160+124)*'Saisie Bât neuf'!$C$18/100)</f>
        <v>140</v>
      </c>
      <c r="S13" s="52"/>
      <c r="T13" s="52" t="s">
        <v>6</v>
      </c>
      <c r="U13" s="52"/>
      <c r="AE13" s="43" t="s">
        <v>391</v>
      </c>
      <c r="AQ13" s="215" t="s">
        <v>170</v>
      </c>
      <c r="AR13" s="215"/>
      <c r="AS13" s="215"/>
      <c r="BA13" s="66" t="s">
        <v>171</v>
      </c>
      <c r="BB13" s="67">
        <v>7</v>
      </c>
      <c r="BC13" s="62">
        <f>IF('Saisie Bât neuf'!$K14+'Saisie Bât neuf'!$L14&gt;0,$BB$13+('Saisie Bât neuf'!$K14+'Saisie Bât neuf'!$L14-1)*3,0)</f>
        <v>13</v>
      </c>
      <c r="BD13" s="63">
        <f>BC13*'Saisie Bât neuf'!$C$8</f>
        <v>65</v>
      </c>
      <c r="BE13" s="62">
        <f>IF('Saisie Bât neuf'!$K15+'Saisie Bât neuf'!$L15&gt;0,$BB$13+('Saisie Bât neuf'!$K15+'Saisie Bât neuf'!$L15-1)*3,0)</f>
        <v>0</v>
      </c>
      <c r="BF13" s="63">
        <f>BE13*'Saisie Bât neuf'!$C$8</f>
        <v>0</v>
      </c>
      <c r="BG13" s="62">
        <f>IF('Saisie Bât neuf'!$K16+'Saisie Bât neuf'!$L16&gt;0,$BB$13+('Saisie Bât neuf'!$K16+'Saisie Bât neuf'!$L16-1)*3,0)</f>
        <v>0</v>
      </c>
      <c r="BH13" s="63">
        <f>BG13*'Saisie Bât neuf'!$C$8</f>
        <v>0</v>
      </c>
      <c r="BI13" s="64">
        <f>IF('Saisie Bât neuf'!K17+'Saisie Bât neuf'!L17&gt;0,BB13+('Saisie Bât neuf'!K17+'Saisie Bât neuf'!L17-1)*3,0)</f>
        <v>0</v>
      </c>
      <c r="BJ13" s="65">
        <f>BI13*'Saisie Bât neuf'!$C$8</f>
        <v>0</v>
      </c>
      <c r="BK13" s="64">
        <f>IF('Saisie Bât neuf'!K18+'Saisie Bât neuf'!L18&gt;0,BB13+('Saisie Bât neuf'!K18+'Saisie Bât neuf'!L18-1)*3,0)</f>
        <v>0</v>
      </c>
      <c r="BL13" s="65">
        <f>BK13*'Saisie Bât neuf'!$C$8</f>
        <v>0</v>
      </c>
    </row>
    <row r="14" spans="1:64" x14ac:dyDescent="0.25">
      <c r="A14" s="44" t="s">
        <v>172</v>
      </c>
      <c r="B14" s="44">
        <v>64</v>
      </c>
      <c r="C14" s="44" t="s">
        <v>142</v>
      </c>
      <c r="D14" s="44">
        <f t="shared" si="0"/>
        <v>0.9</v>
      </c>
      <c r="E14" s="44">
        <f>IF('Saisie Bât neuf'!$C$4&gt;799,0.2,IF('Saisie Bât neuf'!$C$4&gt;399,0.1,0))</f>
        <v>0</v>
      </c>
      <c r="F14" s="44">
        <f>IF('Saisie Bât neuf'!$C$5="Non",50*(D14+E14),50*(D14+E14)+12)</f>
        <v>45</v>
      </c>
      <c r="G14" s="44">
        <v>-5</v>
      </c>
      <c r="H14" s="44">
        <f t="shared" si="3"/>
        <v>2</v>
      </c>
      <c r="I14" s="51">
        <f>IF(160*'Saisie Bât neuf'!$C$14/100&lt;80,80,160*'Saisie Bât neuf'!$C$14/100)</f>
        <v>80</v>
      </c>
      <c r="J14" s="51">
        <f>IF((160+124)*'Saisie Bât neuf'!$C$14/100&lt;140,140,(160+124)*'Saisie Bât neuf'!$C$14/100)</f>
        <v>142</v>
      </c>
      <c r="K14" s="51">
        <f>IF(160*'Saisie Bât neuf'!$C$15/100&lt;80,80,160*'Saisie Bât neuf'!$C$15/100)</f>
        <v>80</v>
      </c>
      <c r="L14" s="51">
        <f>IF((160+124)*'Saisie Bât neuf'!$C$15/100&lt;140,140,(160+124)*'Saisie Bât neuf'!$C$15/100)</f>
        <v>140</v>
      </c>
      <c r="M14" s="51">
        <f>IF(160*'Saisie Bât neuf'!$C$16/100&lt;80,80,160*'Saisie Bât neuf'!$C$16/100)</f>
        <v>80</v>
      </c>
      <c r="N14" s="51">
        <f>IF((160+124)*'Saisie Bât neuf'!$C$16/100&lt;140,140,(160+124)*'Saisie Bât neuf'!$C$16/100)</f>
        <v>140</v>
      </c>
      <c r="O14" s="51">
        <f>IF(160*'Saisie Bât neuf'!$C$17/100&lt;80,80,160*'Saisie Bât neuf'!$C$17/100)</f>
        <v>80</v>
      </c>
      <c r="P14" s="51">
        <f>IF((160+124)*'Saisie Bât neuf'!$C$17/100&lt;140,140,(160+124)*'Saisie Bât neuf'!$C$17/100)</f>
        <v>140</v>
      </c>
      <c r="Q14" s="51">
        <f>IF(160*'Saisie Bât neuf'!$C$18/100&lt;80,80,160*'Saisie Bât neuf'!$C$18/100)</f>
        <v>80</v>
      </c>
      <c r="R14" s="51">
        <f>IF((160+124)*'Saisie Bât neuf'!$C$18/100&lt;140,140,(160+124)*'Saisie Bât neuf'!$C$18/100)</f>
        <v>140</v>
      </c>
      <c r="S14" s="52"/>
      <c r="T14" s="52"/>
      <c r="U14" s="52"/>
      <c r="AQ14" s="68" t="s">
        <v>173</v>
      </c>
      <c r="AR14" s="69" t="s">
        <v>134</v>
      </c>
      <c r="AS14" s="69" t="s">
        <v>174</v>
      </c>
      <c r="BA14" s="66" t="s">
        <v>175</v>
      </c>
      <c r="BB14" s="67">
        <v>7</v>
      </c>
      <c r="BC14" s="62">
        <f>IF('Saisie Bât neuf'!$K14+'Saisie Bât neuf'!$L14&gt;0,$BB$14+('Saisie Bât neuf'!$K14+'Saisie Bât neuf'!$L14-1)*2,0)</f>
        <v>11</v>
      </c>
      <c r="BD14" s="63">
        <f>BC14*'Saisie Bât neuf'!$C$8</f>
        <v>55</v>
      </c>
      <c r="BE14" s="62">
        <f>IF('Saisie Bât neuf'!$K15+'Saisie Bât neuf'!$L15&gt;0,$BB$14+('Saisie Bât neuf'!$K15+'Saisie Bât neuf'!$L15-1)*2,0)</f>
        <v>0</v>
      </c>
      <c r="BF14" s="63">
        <f>BE14*'Saisie Bât neuf'!$C$8</f>
        <v>0</v>
      </c>
      <c r="BG14" s="62">
        <f>IF('Saisie Bât neuf'!$K16+'Saisie Bât neuf'!$L16&gt;0,$BB$14+('Saisie Bât neuf'!$K16+'Saisie Bât neuf'!$L16-1)*2,0)</f>
        <v>0</v>
      </c>
      <c r="BH14" s="63">
        <f>BG14*'Saisie Bât neuf'!$C$8</f>
        <v>0</v>
      </c>
      <c r="BI14" s="64">
        <f>IF('Saisie Bât neuf'!K17+'Saisie Bât neuf'!L17&gt;0,BB14+('Saisie Bât neuf'!K17+'Saisie Bât neuf'!L17-1)*2,0)</f>
        <v>0</v>
      </c>
      <c r="BJ14" s="65">
        <f>BI14*'Saisie Bât neuf'!$C$8</f>
        <v>0</v>
      </c>
      <c r="BK14" s="64">
        <f>IF('Saisie Bât neuf'!K18+'Saisie Bât neuf'!L18&gt;0,BB14+('Saisie Bât neuf'!K18+'Saisie Bât neuf'!L18-1)*2,0)</f>
        <v>0</v>
      </c>
      <c r="BL14" s="65">
        <f>BK14*'Saisie Bât neuf'!$C$8</f>
        <v>0</v>
      </c>
    </row>
    <row r="15" spans="1:64" x14ac:dyDescent="0.25">
      <c r="A15" s="44" t="s">
        <v>176</v>
      </c>
      <c r="B15" s="44">
        <v>33</v>
      </c>
      <c r="C15" s="44" t="s">
        <v>142</v>
      </c>
      <c r="D15" s="44">
        <f t="shared" si="0"/>
        <v>0.9</v>
      </c>
      <c r="E15" s="44">
        <f>IF('Saisie Bât neuf'!$C$4&gt;799,0.2,IF('Saisie Bât neuf'!$C$4&gt;399,0.1,0))</f>
        <v>0</v>
      </c>
      <c r="F15" s="44">
        <f>IF('Saisie Bât neuf'!$C$5="Non",50*(D15+E15),50*(D15+E15)+12)</f>
        <v>45</v>
      </c>
      <c r="G15" s="44">
        <v>-4</v>
      </c>
      <c r="H15" s="44">
        <f t="shared" si="3"/>
        <v>2</v>
      </c>
      <c r="I15" s="51">
        <f>IF(160*'Saisie Bât neuf'!$C$14/100&lt;80,80,160*'Saisie Bât neuf'!$C$14/100)</f>
        <v>80</v>
      </c>
      <c r="J15" s="51">
        <f>IF((160+124)*'Saisie Bât neuf'!$C$14/100&lt;140,140,(160+124)*'Saisie Bât neuf'!$C$14/100)</f>
        <v>142</v>
      </c>
      <c r="K15" s="51">
        <f>IF(160*'Saisie Bât neuf'!$C$15/100&lt;80,80,160*'Saisie Bât neuf'!$C$15/100)</f>
        <v>80</v>
      </c>
      <c r="L15" s="51">
        <f>IF((160+124)*'Saisie Bât neuf'!$C$15/100&lt;140,140,(160+124)*'Saisie Bât neuf'!$C$15/100)</f>
        <v>140</v>
      </c>
      <c r="M15" s="51">
        <f>IF(160*'Saisie Bât neuf'!$C$16/100&lt;80,80,160*'Saisie Bât neuf'!$C$16/100)</f>
        <v>80</v>
      </c>
      <c r="N15" s="51">
        <f>IF((160+124)*'Saisie Bât neuf'!$C$16/100&lt;140,140,(160+124)*'Saisie Bât neuf'!$C$16/100)</f>
        <v>140</v>
      </c>
      <c r="O15" s="51">
        <f>IF(160*'Saisie Bât neuf'!$C$17/100&lt;80,80,160*'Saisie Bât neuf'!$C$17/100)</f>
        <v>80</v>
      </c>
      <c r="P15" s="51">
        <f>IF((160+124)*'Saisie Bât neuf'!$C$17/100&lt;140,140,(160+124)*'Saisie Bât neuf'!$C$17/100)</f>
        <v>140</v>
      </c>
      <c r="Q15" s="51">
        <f>IF(160*'Saisie Bât neuf'!$C$18/100&lt;80,80,160*'Saisie Bât neuf'!$C$18/100)</f>
        <v>80</v>
      </c>
      <c r="R15" s="51">
        <f>IF((160+124)*'Saisie Bât neuf'!$C$18/100&lt;140,140,(160+124)*'Saisie Bât neuf'!$C$18/100)</f>
        <v>140</v>
      </c>
      <c r="S15" s="52"/>
      <c r="T15" s="52" t="s">
        <v>6</v>
      </c>
      <c r="U15" s="52"/>
      <c r="AO15" s="52">
        <f>IF(AO6="gaz",Y18,0)+IF(AP6="gaz",BC30/'calculs Bât neuf'!BM26,0)+IF('Saisie Bât neuf'!J14="gaz de ville",'calculs Bât neuf'!AR29,0)</f>
        <v>0</v>
      </c>
      <c r="AP15" s="44" t="s">
        <v>140</v>
      </c>
      <c r="AQ15" s="44" t="str">
        <f>IF(AO15&lt;1000,'Référence&amp;tarifs'!$A$16,IF(AO15&gt;6000,'Référence&amp;tarifs'!$A$18,'Référence&amp;tarifs'!$A$17))</f>
        <v>base</v>
      </c>
      <c r="AR15" s="44">
        <f>VLOOKUP(AQ15,'Référence&amp;tarifs'!$A$16:$C$18,2,0)</f>
        <v>102.12</v>
      </c>
      <c r="AS15" s="44">
        <f>VLOOKUP(AQ15,'Référence&amp;tarifs'!$A$16:$C$18,3,0)</f>
        <v>0.12839999999999999</v>
      </c>
      <c r="BA15" s="66" t="s">
        <v>177</v>
      </c>
      <c r="BB15" s="67">
        <v>7</v>
      </c>
      <c r="BC15" s="62">
        <f>$BB$15*('Saisie Bât neuf'!$K14+'Saisie Bât neuf'!$L14)</f>
        <v>21</v>
      </c>
      <c r="BD15" s="63">
        <f>BC15*'Saisie Bât neuf'!$C$8</f>
        <v>105</v>
      </c>
      <c r="BE15" s="62">
        <f>$BB$15*('Saisie Bât neuf'!$K15+'Saisie Bât neuf'!$L15)</f>
        <v>0</v>
      </c>
      <c r="BF15" s="63">
        <f>BE15*'Saisie Bât neuf'!$C$8</f>
        <v>0</v>
      </c>
      <c r="BG15" s="62">
        <f>$BB$15*('Saisie Bât neuf'!$K16+'Saisie Bât neuf'!$L16)</f>
        <v>0</v>
      </c>
      <c r="BH15" s="63">
        <f>BG15*'Saisie Bât neuf'!$C$8</f>
        <v>0</v>
      </c>
      <c r="BI15" s="64">
        <f>BB15*('Saisie Bât neuf'!K17+'Saisie Bât neuf'!L17)</f>
        <v>0</v>
      </c>
      <c r="BJ15" s="65">
        <f>BI15*'Saisie Bât neuf'!$C$8</f>
        <v>0</v>
      </c>
      <c r="BK15" s="64">
        <f>BB15*('Saisie Bât neuf'!K18+'Saisie Bât neuf'!L18)</f>
        <v>0</v>
      </c>
      <c r="BL15" s="65">
        <f>BK15*'Saisie Bât neuf'!$C$8</f>
        <v>0</v>
      </c>
    </row>
    <row r="16" spans="1:64" x14ac:dyDescent="0.25">
      <c r="A16" s="44" t="s">
        <v>178</v>
      </c>
      <c r="B16" s="44">
        <v>18</v>
      </c>
      <c r="C16" s="44" t="s">
        <v>158</v>
      </c>
      <c r="D16" s="44">
        <f t="shared" si="0"/>
        <v>1</v>
      </c>
      <c r="E16" s="44">
        <f>IF('Saisie Bât neuf'!$C$4&gt;799,0.2,IF('Saisie Bât neuf'!$C$4&gt;399,0.1,0))</f>
        <v>0</v>
      </c>
      <c r="F16" s="44">
        <f>IF('Saisie Bât neuf'!$C$5="Non",50*(D16+E16),50*(D16+E16)+12)</f>
        <v>50</v>
      </c>
      <c r="G16" s="44">
        <v>-7</v>
      </c>
      <c r="H16" s="44">
        <f t="shared" si="3"/>
        <v>2</v>
      </c>
      <c r="I16" s="51">
        <f>IF(160*'Saisie Bât neuf'!$C$14/100&lt;80,80,160*'Saisie Bât neuf'!$C$14/100)</f>
        <v>80</v>
      </c>
      <c r="J16" s="51">
        <f>IF((160+124)*'Saisie Bât neuf'!$C$14/100&lt;140,140,(160+124)*'Saisie Bât neuf'!$C$14/100)</f>
        <v>142</v>
      </c>
      <c r="K16" s="51">
        <f>IF(160*'Saisie Bât neuf'!$C$15/100&lt;80,80,160*'Saisie Bât neuf'!$C$15/100)</f>
        <v>80</v>
      </c>
      <c r="L16" s="51">
        <f>IF((160+124)*'Saisie Bât neuf'!$C$15/100&lt;140,140,(160+124)*'Saisie Bât neuf'!$C$15/100)</f>
        <v>140</v>
      </c>
      <c r="M16" s="51">
        <f>IF(160*'Saisie Bât neuf'!$C$16/100&lt;80,80,160*'Saisie Bât neuf'!$C$16/100)</f>
        <v>80</v>
      </c>
      <c r="N16" s="51">
        <f>IF((160+124)*'Saisie Bât neuf'!$C$16/100&lt;140,140,(160+124)*'Saisie Bât neuf'!$C$16/100)</f>
        <v>140</v>
      </c>
      <c r="O16" s="51">
        <f>IF(160*'Saisie Bât neuf'!$C$17/100&lt;80,80,160*'Saisie Bât neuf'!$C$17/100)</f>
        <v>80</v>
      </c>
      <c r="P16" s="51">
        <f>IF((160+124)*'Saisie Bât neuf'!$C$17/100&lt;140,140,(160+124)*'Saisie Bât neuf'!$C$17/100)</f>
        <v>140</v>
      </c>
      <c r="Q16" s="51">
        <f>IF(160*'Saisie Bât neuf'!$C$18/100&lt;80,80,160*'Saisie Bât neuf'!$C$18/100)</f>
        <v>80</v>
      </c>
      <c r="R16" s="51">
        <f>IF((160+124)*'Saisie Bât neuf'!$C$18/100&lt;140,140,(160+124)*'Saisie Bât neuf'!$C$18/100)</f>
        <v>140</v>
      </c>
      <c r="S16" s="52"/>
      <c r="T16" s="52" t="s">
        <v>370</v>
      </c>
      <c r="U16" s="52"/>
      <c r="AE16" s="43" t="s">
        <v>392</v>
      </c>
      <c r="AO16" s="52" t="e">
        <f>IF(AO7="gaz",Z18,0)+IF(AP7="gaz",BC30/'calculs Bât neuf'!BM26,0)+IF('Saisie Bât neuf'!J15="gaz de ville",'calculs Bât neuf'!AR30,0)</f>
        <v>#N/A</v>
      </c>
      <c r="AP16" s="44" t="s">
        <v>145</v>
      </c>
      <c r="AQ16" s="44" t="e">
        <f>IF(AO16&lt;1000,'Référence&amp;tarifs'!$A$16,IF(AO16&gt;6000,'Référence&amp;tarifs'!$A$18,'Référence&amp;tarifs'!$A$17))</f>
        <v>#N/A</v>
      </c>
      <c r="AR16" s="44" t="e">
        <f>VLOOKUP(AQ16,'Référence&amp;tarifs'!$A$16:$C$18,2,0)</f>
        <v>#N/A</v>
      </c>
      <c r="AS16" s="44" t="e">
        <f>VLOOKUP(AQ16,'Référence&amp;tarifs'!$A$16:$C$18,3,0)</f>
        <v>#N/A</v>
      </c>
      <c r="BA16" s="70" t="s">
        <v>179</v>
      </c>
      <c r="BB16" s="71">
        <f>SUM(BB11:BB15)</f>
        <v>39</v>
      </c>
      <c r="BC16" s="70">
        <f>SUM(BC11:BC15)</f>
        <v>77</v>
      </c>
      <c r="BD16" s="72">
        <f>SUM(BD11:BD15)</f>
        <v>385</v>
      </c>
      <c r="BE16" s="70">
        <f>SUM(BE11:BE15)</f>
        <v>0</v>
      </c>
      <c r="BF16" s="73">
        <f>BE16*'Saisie Bât neuf'!$C$8</f>
        <v>0</v>
      </c>
      <c r="BG16" s="70">
        <f>SUM(BG11:BG15)</f>
        <v>0</v>
      </c>
      <c r="BH16" s="73">
        <f>BG16*'Saisie Bât neuf'!$C$8</f>
        <v>0</v>
      </c>
      <c r="BI16" s="74">
        <f>SUM(BI11:BI15)</f>
        <v>0</v>
      </c>
      <c r="BJ16" s="75">
        <f>BI16*'Saisie Bât neuf'!$C$8</f>
        <v>0</v>
      </c>
      <c r="BK16" s="74">
        <f>SUM(BK11:BK15)</f>
        <v>0</v>
      </c>
      <c r="BL16" s="76">
        <f>SUM(BL11:BL15)</f>
        <v>0</v>
      </c>
    </row>
    <row r="17" spans="1:66" x14ac:dyDescent="0.25">
      <c r="A17" s="44" t="s">
        <v>180</v>
      </c>
      <c r="B17" s="44">
        <v>29</v>
      </c>
      <c r="C17" s="44" t="s">
        <v>181</v>
      </c>
      <c r="D17" s="44">
        <f t="shared" si="0"/>
        <v>1.1000000000000001</v>
      </c>
      <c r="E17" s="44">
        <f>IF('Saisie Bât neuf'!$C$4&gt;799,0.2,IF('Saisie Bât neuf'!$C$4&gt;399,0.1,0))</f>
        <v>0</v>
      </c>
      <c r="F17" s="44">
        <f>IF('Saisie Bât neuf'!$C$5="Non",50*(D17+E17),50*(D17+E17)+12)</f>
        <v>55.000000000000007</v>
      </c>
      <c r="G17" s="44">
        <v>-4</v>
      </c>
      <c r="H17" s="44">
        <f t="shared" si="3"/>
        <v>2</v>
      </c>
      <c r="I17" s="51">
        <f>IF(160*'Saisie Bât neuf'!$C$14/100&lt;80,80,160*'Saisie Bât neuf'!$C$14/100)</f>
        <v>80</v>
      </c>
      <c r="J17" s="51">
        <f>IF((160+124)*'Saisie Bât neuf'!$C$14/100&lt;140,140,(160+124)*'Saisie Bât neuf'!$C$14/100)</f>
        <v>142</v>
      </c>
      <c r="K17" s="51">
        <f>IF(160*'Saisie Bât neuf'!$C$15/100&lt;80,80,160*'Saisie Bât neuf'!$C$15/100)</f>
        <v>80</v>
      </c>
      <c r="L17" s="51">
        <f>IF((160+124)*'Saisie Bât neuf'!$C$15/100&lt;140,140,(160+124)*'Saisie Bât neuf'!$C$15/100)</f>
        <v>140</v>
      </c>
      <c r="M17" s="51">
        <f>IF(160*'Saisie Bât neuf'!$C$16/100&lt;80,80,160*'Saisie Bât neuf'!$C$16/100)</f>
        <v>80</v>
      </c>
      <c r="N17" s="51">
        <f>IF((160+124)*'Saisie Bât neuf'!$C$16/100&lt;140,140,(160+124)*'Saisie Bât neuf'!$C$16/100)</f>
        <v>140</v>
      </c>
      <c r="O17" s="51">
        <f>IF(160*'Saisie Bât neuf'!$C$17/100&lt;80,80,160*'Saisie Bât neuf'!$C$17/100)</f>
        <v>80</v>
      </c>
      <c r="P17" s="51">
        <f>IF((160+124)*'Saisie Bât neuf'!$C$17/100&lt;140,140,(160+124)*'Saisie Bât neuf'!$C$17/100)</f>
        <v>140</v>
      </c>
      <c r="Q17" s="51">
        <f>IF(160*'Saisie Bât neuf'!$C$18/100&lt;80,80,160*'Saisie Bât neuf'!$C$18/100)</f>
        <v>80</v>
      </c>
      <c r="R17" s="51">
        <f>IF((160+124)*'Saisie Bât neuf'!$C$18/100&lt;140,140,(160+124)*'Saisie Bât neuf'!$C$18/100)</f>
        <v>140</v>
      </c>
      <c r="S17" s="52"/>
      <c r="T17" s="52" t="s">
        <v>371</v>
      </c>
      <c r="U17" s="52"/>
      <c r="AE17" s="43" t="s">
        <v>288</v>
      </c>
      <c r="AF17" s="43">
        <v>70</v>
      </c>
      <c r="AO17" s="52" t="e">
        <f>IF(AO8="gaz",AA18,0)+IF(AP8="gaz",BC30/'calculs Bât neuf'!BM26,0)+IF('Saisie Bât neuf'!J16="gaz de ville",'calculs Bât neuf'!AR31,0)</f>
        <v>#N/A</v>
      </c>
      <c r="AP17" s="44" t="s">
        <v>149</v>
      </c>
      <c r="AQ17" s="44" t="e">
        <f>IF(AO17&lt;1000,'Référence&amp;tarifs'!$A$16,IF(AO17&gt;6000,'Référence&amp;tarifs'!$A$18,'Référence&amp;tarifs'!$A$17))</f>
        <v>#N/A</v>
      </c>
      <c r="AR17" s="44" t="e">
        <f>VLOOKUP(AQ17,'Référence&amp;tarifs'!$A$16:$C$18,2,0)</f>
        <v>#N/A</v>
      </c>
      <c r="AS17" s="44" t="e">
        <f>VLOOKUP(AQ17,'Référence&amp;tarifs'!$A$16:$C$18,3,0)</f>
        <v>#N/A</v>
      </c>
    </row>
    <row r="18" spans="1:66" x14ac:dyDescent="0.25">
      <c r="A18" s="44" t="s">
        <v>182</v>
      </c>
      <c r="B18" s="44">
        <v>14</v>
      </c>
      <c r="C18" s="44" t="s">
        <v>137</v>
      </c>
      <c r="D18" s="44">
        <f t="shared" si="0"/>
        <v>1.3</v>
      </c>
      <c r="E18" s="44">
        <f>IF('Saisie Bât neuf'!$C$4&gt;799,0.2,IF('Saisie Bât neuf'!$C$4&gt;399,0.1,0))</f>
        <v>0</v>
      </c>
      <c r="F18" s="44">
        <f>IF('Saisie Bât neuf'!$C$5="Non",50*(D18+E18),50*(D18+E18)+12)</f>
        <v>65</v>
      </c>
      <c r="G18" s="44">
        <v>-7</v>
      </c>
      <c r="H18" s="44">
        <f t="shared" si="3"/>
        <v>1</v>
      </c>
      <c r="I18" s="51">
        <f>IF(160*'Saisie Bât neuf'!$C$14/100&lt;80,80,160*'Saisie Bât neuf'!$C$14/100)</f>
        <v>80</v>
      </c>
      <c r="J18" s="51">
        <f>IF((160+124)*'Saisie Bât neuf'!$C$14/100&lt;140,140,(160+124)*'Saisie Bât neuf'!$C$14/100)</f>
        <v>142</v>
      </c>
      <c r="K18" s="51">
        <f>IF(160*'Saisie Bât neuf'!$C$15/100&lt;80,80,160*'Saisie Bât neuf'!$C$15/100)</f>
        <v>80</v>
      </c>
      <c r="L18" s="51">
        <f>IF((160+124)*'Saisie Bât neuf'!$C$15/100&lt;140,140,(160+124)*'Saisie Bât neuf'!$C$15/100)</f>
        <v>140</v>
      </c>
      <c r="M18" s="51">
        <f>IF(160*'Saisie Bât neuf'!$C$16/100&lt;80,80,160*'Saisie Bât neuf'!$C$16/100)</f>
        <v>80</v>
      </c>
      <c r="N18" s="51">
        <f>IF((160+124)*'Saisie Bât neuf'!$C$16/100&lt;140,140,(160+124)*'Saisie Bât neuf'!$C$16/100)</f>
        <v>140</v>
      </c>
      <c r="O18" s="51">
        <f>IF(160*'Saisie Bât neuf'!$C$17/100&lt;80,80,160*'Saisie Bât neuf'!$C$17/100)</f>
        <v>80</v>
      </c>
      <c r="P18" s="51">
        <f>IF((160+124)*'Saisie Bât neuf'!$C$17/100&lt;140,140,(160+124)*'Saisie Bât neuf'!$C$17/100)</f>
        <v>140</v>
      </c>
      <c r="Q18" s="51">
        <f>IF(160*'Saisie Bât neuf'!$C$18/100&lt;80,80,160*'Saisie Bât neuf'!$C$18/100)</f>
        <v>80</v>
      </c>
      <c r="R18" s="51">
        <f>IF((160+124)*'Saisie Bât neuf'!$C$18/100&lt;140,140,(160+124)*'Saisie Bât neuf'!$C$18/100)</f>
        <v>140</v>
      </c>
      <c r="S18" s="52"/>
      <c r="T18" s="52" t="s">
        <v>373</v>
      </c>
      <c r="U18" s="52"/>
      <c r="AE18" s="43" t="s">
        <v>289</v>
      </c>
      <c r="AF18" s="43">
        <v>110</v>
      </c>
      <c r="AO18" s="43" t="e">
        <f>IF(AO9="gaz",AB18,0)+IF(AP9="gaz",BC30/'calculs Bât neuf'!BM26,0)+IF('Saisie Bât neuf'!J17="gaz de ville",AR32,0)</f>
        <v>#N/A</v>
      </c>
      <c r="AP18" s="44" t="s">
        <v>150</v>
      </c>
      <c r="AQ18" s="44" t="e">
        <f>IF(AO18&lt;1000,'Référence&amp;tarifs'!$A$16,IF(AO18&gt;6000,'Référence&amp;tarifs'!$A$18,'Référence&amp;tarifs'!$A$17))</f>
        <v>#N/A</v>
      </c>
      <c r="AR18" s="44" t="e">
        <f>VLOOKUP(AQ18,'Référence&amp;tarifs'!$A$16:$C$18,2,0)</f>
        <v>#N/A</v>
      </c>
      <c r="AS18" s="44" t="e">
        <f>VLOOKUP(AQ18,'Référence&amp;tarifs'!$A$16:$C$18,3,0)</f>
        <v>#N/A</v>
      </c>
    </row>
    <row r="19" spans="1:66" x14ac:dyDescent="0.25">
      <c r="A19" s="44" t="s">
        <v>183</v>
      </c>
      <c r="B19" s="44">
        <v>28</v>
      </c>
      <c r="C19" s="44" t="s">
        <v>137</v>
      </c>
      <c r="D19" s="44">
        <f t="shared" si="0"/>
        <v>1.3</v>
      </c>
      <c r="E19" s="44">
        <f>IF('Saisie Bât neuf'!$C$4&gt;799,0.2,IF('Saisie Bât neuf'!$C$4&gt;399,0.1,0))</f>
        <v>0</v>
      </c>
      <c r="F19" s="44">
        <f>IF('Saisie Bât neuf'!$C$5="Non",50*(D19+E19),50*(D19+E19)+12)</f>
        <v>65</v>
      </c>
      <c r="G19" s="44">
        <v>-7</v>
      </c>
      <c r="H19" s="44">
        <f t="shared" si="3"/>
        <v>1</v>
      </c>
      <c r="I19" s="51">
        <f>IF(160*'Saisie Bât neuf'!$C$14/100&lt;80,80,160*'Saisie Bât neuf'!$C$14/100)</f>
        <v>80</v>
      </c>
      <c r="J19" s="51">
        <f>IF((160+124)*'Saisie Bât neuf'!$C$14/100&lt;140,140,(160+124)*'Saisie Bât neuf'!$C$14/100)</f>
        <v>142</v>
      </c>
      <c r="K19" s="51">
        <f>IF(160*'Saisie Bât neuf'!$C$15/100&lt;80,80,160*'Saisie Bât neuf'!$C$15/100)</f>
        <v>80</v>
      </c>
      <c r="L19" s="51">
        <f>IF((160+124)*'Saisie Bât neuf'!$C$15/100&lt;140,140,(160+124)*'Saisie Bât neuf'!$C$15/100)</f>
        <v>140</v>
      </c>
      <c r="M19" s="51">
        <f>IF(160*'Saisie Bât neuf'!$C$16/100&lt;80,80,160*'Saisie Bât neuf'!$C$16/100)</f>
        <v>80</v>
      </c>
      <c r="N19" s="51">
        <f>IF((160+124)*'Saisie Bât neuf'!$C$16/100&lt;140,140,(160+124)*'Saisie Bât neuf'!$C$16/100)</f>
        <v>140</v>
      </c>
      <c r="O19" s="51">
        <f>IF(160*'Saisie Bât neuf'!$C$17/100&lt;80,80,160*'Saisie Bât neuf'!$C$17/100)</f>
        <v>80</v>
      </c>
      <c r="P19" s="51">
        <f>IF((160+124)*'Saisie Bât neuf'!$C$17/100&lt;140,140,(160+124)*'Saisie Bât neuf'!$C$17/100)</f>
        <v>140</v>
      </c>
      <c r="Q19" s="51">
        <f>IF(160*'Saisie Bât neuf'!$C$18/100&lt;80,80,160*'Saisie Bât neuf'!$C$18/100)</f>
        <v>80</v>
      </c>
      <c r="R19" s="51">
        <f>IF((160+124)*'Saisie Bât neuf'!$C$18/100&lt;140,140,(160+124)*'Saisie Bât neuf'!$C$18/100)</f>
        <v>140</v>
      </c>
      <c r="S19" s="52"/>
      <c r="T19" s="52" t="s">
        <v>372</v>
      </c>
      <c r="U19" s="52"/>
      <c r="AE19" s="43" t="s">
        <v>393</v>
      </c>
      <c r="AF19" s="43">
        <v>180</v>
      </c>
      <c r="AO19" s="43" t="e">
        <f>IF(AO10="gaz",AF18,0)+IF(AP10="gaz",BC30/'calculs Bât neuf'!BM26,0)+IF('Saisie Bât neuf'!J18="gaz de ville",AR33,0)</f>
        <v>#N/A</v>
      </c>
      <c r="AP19" s="44" t="s">
        <v>151</v>
      </c>
      <c r="AQ19" s="44" t="e">
        <f>IF(AO19&lt;1000,'Référence&amp;tarifs'!$A$16,IF(AO19&gt;6000,'Référence&amp;tarifs'!$A$18,'Référence&amp;tarifs'!$A$17))</f>
        <v>#N/A</v>
      </c>
      <c r="AR19" s="44" t="e">
        <f>VLOOKUP(AQ19,'Référence&amp;tarifs'!$A$16:$C$18,2,0)</f>
        <v>#N/A</v>
      </c>
      <c r="AS19" s="44" t="e">
        <f>VLOOKUP(AQ19,'Référence&amp;tarifs'!$A$16:$C$18,3,0)</f>
        <v>#N/A</v>
      </c>
      <c r="BC19" s="215" t="s">
        <v>140</v>
      </c>
      <c r="BD19" s="215"/>
      <c r="BE19" s="215" t="s">
        <v>145</v>
      </c>
      <c r="BF19" s="215"/>
      <c r="BG19" s="215" t="s">
        <v>149</v>
      </c>
      <c r="BH19" s="215"/>
      <c r="BI19" s="215" t="s">
        <v>150</v>
      </c>
      <c r="BJ19" s="215"/>
      <c r="BK19" s="215" t="s">
        <v>151</v>
      </c>
      <c r="BL19" s="215"/>
    </row>
    <row r="20" spans="1:66" x14ac:dyDescent="0.25">
      <c r="A20" s="44" t="s">
        <v>184</v>
      </c>
      <c r="B20" s="44">
        <v>36</v>
      </c>
      <c r="C20" s="44" t="s">
        <v>158</v>
      </c>
      <c r="D20" s="44">
        <f t="shared" si="0"/>
        <v>1</v>
      </c>
      <c r="E20" s="44">
        <f>IF('Saisie Bât neuf'!$C$4&gt;799,0.2,IF('Saisie Bât neuf'!$C$4&gt;399,0.1,0))</f>
        <v>0</v>
      </c>
      <c r="F20" s="44">
        <f>IF('Saisie Bât neuf'!$C$5="Non",50*(D20+E20),50*(D20+E20)+12)</f>
        <v>50</v>
      </c>
      <c r="G20" s="44">
        <v>-7</v>
      </c>
      <c r="H20" s="44">
        <f t="shared" si="3"/>
        <v>2</v>
      </c>
      <c r="I20" s="51">
        <f>IF(160*'Saisie Bât neuf'!$C$14/100&lt;80,80,160*'Saisie Bât neuf'!$C$14/100)</f>
        <v>80</v>
      </c>
      <c r="J20" s="51">
        <f>IF((160+124)*'Saisie Bât neuf'!$C$14/100&lt;140,140,(160+124)*'Saisie Bât neuf'!$C$14/100)</f>
        <v>142</v>
      </c>
      <c r="K20" s="51">
        <f>IF(160*'Saisie Bât neuf'!$C$15/100&lt;80,80,160*'Saisie Bât neuf'!$C$15/100)</f>
        <v>80</v>
      </c>
      <c r="L20" s="51">
        <f>IF((160+124)*'Saisie Bât neuf'!$C$15/100&lt;140,140,(160+124)*'Saisie Bât neuf'!$C$15/100)</f>
        <v>140</v>
      </c>
      <c r="M20" s="51">
        <f>IF(160*'Saisie Bât neuf'!$C$16/100&lt;80,80,160*'Saisie Bât neuf'!$C$16/100)</f>
        <v>80</v>
      </c>
      <c r="N20" s="51">
        <f>IF((160+124)*'Saisie Bât neuf'!$C$16/100&lt;140,140,(160+124)*'Saisie Bât neuf'!$C$16/100)</f>
        <v>140</v>
      </c>
      <c r="O20" s="51">
        <f>IF(160*'Saisie Bât neuf'!$C$17/100&lt;80,80,160*'Saisie Bât neuf'!$C$17/100)</f>
        <v>80</v>
      </c>
      <c r="P20" s="51">
        <f>IF((160+124)*'Saisie Bât neuf'!$C$17/100&lt;140,140,(160+124)*'Saisie Bât neuf'!$C$17/100)</f>
        <v>140</v>
      </c>
      <c r="Q20" s="51">
        <f>IF(160*'Saisie Bât neuf'!$C$18/100&lt;80,80,160*'Saisie Bât neuf'!$C$18/100)</f>
        <v>80</v>
      </c>
      <c r="R20" s="51">
        <f>IF((160+124)*'Saisie Bât neuf'!$C$18/100&lt;140,140,(160+124)*'Saisie Bât neuf'!$C$18/100)</f>
        <v>140</v>
      </c>
      <c r="S20" s="52"/>
      <c r="T20" s="52"/>
      <c r="U20" s="52"/>
      <c r="AE20" s="43" t="s">
        <v>394</v>
      </c>
      <c r="AF20" s="43">
        <v>250</v>
      </c>
      <c r="AQ20" s="78"/>
      <c r="BC20" s="79" t="s">
        <v>185</v>
      </c>
      <c r="BD20" s="44" t="s">
        <v>186</v>
      </c>
      <c r="BE20" s="79" t="s">
        <v>185</v>
      </c>
      <c r="BF20" s="44" t="s">
        <v>186</v>
      </c>
      <c r="BG20" s="79" t="s">
        <v>185</v>
      </c>
      <c r="BH20" s="44" t="s">
        <v>186</v>
      </c>
      <c r="BI20" s="79" t="s">
        <v>185</v>
      </c>
      <c r="BJ20" s="44" t="s">
        <v>186</v>
      </c>
      <c r="BK20" s="79" t="s">
        <v>185</v>
      </c>
      <c r="BL20" s="44" t="s">
        <v>186</v>
      </c>
      <c r="BM20" s="44" t="s">
        <v>187</v>
      </c>
      <c r="BN20" s="44" t="s">
        <v>188</v>
      </c>
    </row>
    <row r="21" spans="1:66" x14ac:dyDescent="0.25">
      <c r="A21" s="44" t="s">
        <v>189</v>
      </c>
      <c r="B21" s="44">
        <v>63</v>
      </c>
      <c r="C21" s="44" t="s">
        <v>153</v>
      </c>
      <c r="D21" s="44">
        <f t="shared" si="0"/>
        <v>1.2</v>
      </c>
      <c r="E21" s="44">
        <f>IF('Saisie Bât neuf'!$C$4&gt;799,0.2,IF('Saisie Bât neuf'!$C$4&gt;399,0.1,0))</f>
        <v>0</v>
      </c>
      <c r="F21" s="44">
        <f>IF('Saisie Bât neuf'!$C$5="Non",50*(D21+E21),50*(D21+E21)+12)</f>
        <v>60</v>
      </c>
      <c r="G21" s="44">
        <v>-8</v>
      </c>
      <c r="H21" s="44">
        <f t="shared" si="3"/>
        <v>1</v>
      </c>
      <c r="I21" s="51">
        <f>IF(160*'Saisie Bât neuf'!$C$14/100&lt;80,80,160*'Saisie Bât neuf'!$C$14/100)</f>
        <v>80</v>
      </c>
      <c r="J21" s="51">
        <f>IF((160+124)*'Saisie Bât neuf'!$C$14/100&lt;140,140,(160+124)*'Saisie Bât neuf'!$C$14/100)</f>
        <v>142</v>
      </c>
      <c r="K21" s="51">
        <f>IF(160*'Saisie Bât neuf'!$C$15/100&lt;80,80,160*'Saisie Bât neuf'!$C$15/100)</f>
        <v>80</v>
      </c>
      <c r="L21" s="51">
        <f>IF((160+124)*'Saisie Bât neuf'!$C$15/100&lt;140,140,(160+124)*'Saisie Bât neuf'!$C$15/100)</f>
        <v>140</v>
      </c>
      <c r="M21" s="51">
        <f>IF(160*'Saisie Bât neuf'!$C$16/100&lt;80,80,160*'Saisie Bât neuf'!$C$16/100)</f>
        <v>80</v>
      </c>
      <c r="N21" s="51">
        <f>IF((160+124)*'Saisie Bât neuf'!$C$16/100&lt;140,140,(160+124)*'Saisie Bât neuf'!$C$16/100)</f>
        <v>140</v>
      </c>
      <c r="O21" s="51">
        <f>IF(160*'Saisie Bât neuf'!$C$17/100&lt;80,80,160*'Saisie Bât neuf'!$C$17/100)</f>
        <v>80</v>
      </c>
      <c r="P21" s="51">
        <f>IF((160+124)*'Saisie Bât neuf'!$C$17/100&lt;140,140,(160+124)*'Saisie Bât neuf'!$C$17/100)</f>
        <v>140</v>
      </c>
      <c r="Q21" s="51">
        <f>IF(160*'Saisie Bât neuf'!$C$18/100&lt;80,80,160*'Saisie Bât neuf'!$C$18/100)</f>
        <v>80</v>
      </c>
      <c r="R21" s="51">
        <f>IF((160+124)*'Saisie Bât neuf'!$C$18/100&lt;140,140,(160+124)*'Saisie Bât neuf'!$C$18/100)</f>
        <v>140</v>
      </c>
      <c r="S21" s="52"/>
      <c r="T21" s="52" t="s">
        <v>381</v>
      </c>
      <c r="U21" s="52"/>
      <c r="AE21" s="43" t="s">
        <v>397</v>
      </c>
      <c r="AF21" s="43">
        <v>330</v>
      </c>
      <c r="AR21" s="69" t="s">
        <v>369</v>
      </c>
      <c r="AS21" s="80" t="s">
        <v>190</v>
      </c>
      <c r="AU21" s="78"/>
      <c r="AV21" s="78"/>
      <c r="BA21" s="115" t="s">
        <v>191</v>
      </c>
      <c r="BB21" s="44" t="s">
        <v>192</v>
      </c>
      <c r="BC21" s="44">
        <f>$AS6</f>
        <v>0.25159999999999999</v>
      </c>
      <c r="BD21" s="77">
        <f>($BC$30/$BM21)*BC21</f>
        <v>132.09</v>
      </c>
      <c r="BE21" s="44" t="e">
        <f>$AS7</f>
        <v>#N/A</v>
      </c>
      <c r="BF21" s="77" t="e">
        <f>($BE$30/$BM21)*BE21</f>
        <v>#N/A</v>
      </c>
      <c r="BG21" s="44" t="e">
        <f>$AS8</f>
        <v>#N/A</v>
      </c>
      <c r="BH21" s="77" t="e">
        <f>($BG$30/$BM21)*BG21</f>
        <v>#N/A</v>
      </c>
      <c r="BI21" s="44" t="e">
        <f>AS9</f>
        <v>#N/A</v>
      </c>
      <c r="BJ21" s="77" t="e">
        <f>($BI$30/BM21)*BI21</f>
        <v>#N/A</v>
      </c>
      <c r="BK21" s="44" t="e">
        <f>AS10</f>
        <v>#N/A</v>
      </c>
      <c r="BL21" s="77" t="e">
        <f>($BK$30/BM21)*BK21</f>
        <v>#N/A</v>
      </c>
      <c r="BM21" s="44">
        <v>2</v>
      </c>
      <c r="BN21" s="44" t="s">
        <v>193</v>
      </c>
    </row>
    <row r="22" spans="1:66" ht="30" x14ac:dyDescent="0.25">
      <c r="A22" s="44" t="s">
        <v>194</v>
      </c>
      <c r="B22" s="44">
        <v>16</v>
      </c>
      <c r="C22" s="44" t="s">
        <v>158</v>
      </c>
      <c r="D22" s="44">
        <f t="shared" si="0"/>
        <v>1</v>
      </c>
      <c r="E22" s="44">
        <f>IF('Saisie Bât neuf'!$C$4&gt;799,0.2,IF('Saisie Bât neuf'!$C$4&gt;399,0.1,0))</f>
        <v>0</v>
      </c>
      <c r="F22" s="44">
        <f>IF('Saisie Bât neuf'!$C$5="Non",50*(D22+E22),50*(D22+E22)+12)</f>
        <v>50</v>
      </c>
      <c r="G22" s="44">
        <v>-5</v>
      </c>
      <c r="H22" s="44">
        <f t="shared" si="3"/>
        <v>2</v>
      </c>
      <c r="I22" s="51">
        <f>IF(160*'Saisie Bât neuf'!$C$14/100&lt;80,80,160*'Saisie Bât neuf'!$C$14/100)</f>
        <v>80</v>
      </c>
      <c r="J22" s="51">
        <f>IF((160+124)*'Saisie Bât neuf'!$C$14/100&lt;140,140,(160+124)*'Saisie Bât neuf'!$C$14/100)</f>
        <v>142</v>
      </c>
      <c r="K22" s="51">
        <f>IF(160*'Saisie Bât neuf'!$C$15/100&lt;80,80,160*'Saisie Bât neuf'!$C$15/100)</f>
        <v>80</v>
      </c>
      <c r="L22" s="51">
        <f>IF((160+124)*'Saisie Bât neuf'!$C$15/100&lt;140,140,(160+124)*'Saisie Bât neuf'!$C$15/100)</f>
        <v>140</v>
      </c>
      <c r="M22" s="51">
        <f>IF(160*'Saisie Bât neuf'!$C$16/100&lt;80,80,160*'Saisie Bât neuf'!$C$16/100)</f>
        <v>80</v>
      </c>
      <c r="N22" s="51">
        <f>IF((160+124)*'Saisie Bât neuf'!$C$16/100&lt;140,140,(160+124)*'Saisie Bât neuf'!$C$16/100)</f>
        <v>140</v>
      </c>
      <c r="O22" s="51">
        <f>IF(160*'Saisie Bât neuf'!$C$17/100&lt;80,80,160*'Saisie Bât neuf'!$C$17/100)</f>
        <v>80</v>
      </c>
      <c r="P22" s="51">
        <f>IF((160+124)*'Saisie Bât neuf'!$C$17/100&lt;140,140,(160+124)*'Saisie Bât neuf'!$C$17/100)</f>
        <v>140</v>
      </c>
      <c r="Q22" s="51">
        <f>IF(160*'Saisie Bât neuf'!$C$18/100&lt;80,80,160*'Saisie Bât neuf'!$C$18/100)</f>
        <v>80</v>
      </c>
      <c r="R22" s="51">
        <f>IF((160+124)*'Saisie Bât neuf'!$C$18/100&lt;140,140,(160+124)*'Saisie Bât neuf'!$C$18/100)</f>
        <v>140</v>
      </c>
      <c r="S22" s="52"/>
      <c r="T22" s="1" t="s">
        <v>378</v>
      </c>
      <c r="U22" s="52"/>
      <c r="AE22" s="43" t="s">
        <v>395</v>
      </c>
      <c r="AF22" s="43">
        <v>420</v>
      </c>
      <c r="AQ22" s="44" t="s">
        <v>140</v>
      </c>
      <c r="AR22" s="44">
        <f>'Saisie Bât neuf'!C14*18+('Saisie Bât neuf'!K14+'Saisie Bât neuf'!L14-1)*'Saisie Bât neuf'!C14*4.5</f>
        <v>1350</v>
      </c>
      <c r="AS22" s="44">
        <f>AR22*AS6+AR6</f>
        <v>529.14</v>
      </c>
      <c r="AW22" s="43">
        <f>AR22*AS6+AR6</f>
        <v>529.14</v>
      </c>
      <c r="BA22" s="115"/>
      <c r="BB22" s="44" t="s">
        <v>195</v>
      </c>
      <c r="BC22" s="44">
        <f>(AT37+AT38)/2</f>
        <v>7.0500000000000007E-2</v>
      </c>
      <c r="BD22" s="77">
        <f>($BC$30/BM22)*BC22*0.4</f>
        <v>31.168421052631587</v>
      </c>
      <c r="BE22" s="44">
        <f>BC22</f>
        <v>7.0500000000000007E-2</v>
      </c>
      <c r="BF22" s="77">
        <f>($BE$30/$BM22)*BE22*0.4</f>
        <v>6.2336842105263166</v>
      </c>
      <c r="BG22" s="44">
        <f>BC22</f>
        <v>7.0500000000000007E-2</v>
      </c>
      <c r="BH22" s="77">
        <f>($BG$30/$BM22)*BG22*0.4</f>
        <v>6.2336842105263166</v>
      </c>
      <c r="BI22" s="44">
        <f>BC22</f>
        <v>7.0500000000000007E-2</v>
      </c>
      <c r="BJ22" s="77">
        <f>($BI$30/BM22)*BI22*0.4</f>
        <v>6.2336842105263166</v>
      </c>
      <c r="BK22" s="81">
        <f>BC22</f>
        <v>7.0500000000000007E-2</v>
      </c>
      <c r="BL22" s="77">
        <f>($BK$30/BM22)*BK22*0.4</f>
        <v>6.2336842105263166</v>
      </c>
      <c r="BM22" s="44">
        <v>0.95</v>
      </c>
      <c r="BN22" s="44" t="s">
        <v>196</v>
      </c>
    </row>
    <row r="23" spans="1:66" x14ac:dyDescent="0.25">
      <c r="A23" s="44" t="s">
        <v>197</v>
      </c>
      <c r="B23" s="44">
        <v>40</v>
      </c>
      <c r="C23" s="44" t="s">
        <v>142</v>
      </c>
      <c r="D23" s="44">
        <f t="shared" si="0"/>
        <v>0.9</v>
      </c>
      <c r="E23" s="44">
        <f>IF('Saisie Bât neuf'!$C$4&gt;799,0.2,IF('Saisie Bât neuf'!$C$4&gt;399,0.1,0))</f>
        <v>0</v>
      </c>
      <c r="F23" s="44">
        <f>IF('Saisie Bât neuf'!$C$5="Non",50*(D23+E23),50*(D23+E23)+12)</f>
        <v>45</v>
      </c>
      <c r="G23" s="44">
        <v>-4</v>
      </c>
      <c r="H23" s="44">
        <f t="shared" si="3"/>
        <v>2</v>
      </c>
      <c r="I23" s="51">
        <f>IF(160*'Saisie Bât neuf'!$C$14/100&lt;80,80,160*'Saisie Bât neuf'!$C$14/100)</f>
        <v>80</v>
      </c>
      <c r="J23" s="51">
        <f>IF((160+124)*'Saisie Bât neuf'!$C$14/100&lt;140,140,(160+124)*'Saisie Bât neuf'!$C$14/100)</f>
        <v>142</v>
      </c>
      <c r="K23" s="51">
        <f>IF(160*'Saisie Bât neuf'!$C$15/100&lt;80,80,160*'Saisie Bât neuf'!$C$15/100)</f>
        <v>80</v>
      </c>
      <c r="L23" s="51">
        <f>IF((160+124)*'Saisie Bât neuf'!$C$15/100&lt;140,140,(160+124)*'Saisie Bât neuf'!$C$15/100)</f>
        <v>140</v>
      </c>
      <c r="M23" s="51">
        <f>IF(160*'Saisie Bât neuf'!$C$16/100&lt;80,80,160*'Saisie Bât neuf'!$C$16/100)</f>
        <v>80</v>
      </c>
      <c r="N23" s="51">
        <f>IF((160+124)*'Saisie Bât neuf'!$C$16/100&lt;140,140,(160+124)*'Saisie Bât neuf'!$C$16/100)</f>
        <v>140</v>
      </c>
      <c r="O23" s="51">
        <f>IF(160*'Saisie Bât neuf'!$C$17/100&lt;80,80,160*'Saisie Bât neuf'!$C$17/100)</f>
        <v>80</v>
      </c>
      <c r="P23" s="51">
        <f>IF((160+124)*'Saisie Bât neuf'!$C$17/100&lt;140,140,(160+124)*'Saisie Bât neuf'!$C$17/100)</f>
        <v>140</v>
      </c>
      <c r="Q23" s="51">
        <f>IF(160*'Saisie Bât neuf'!$C$18/100&lt;80,80,160*'Saisie Bât neuf'!$C$18/100)</f>
        <v>80</v>
      </c>
      <c r="R23" s="51">
        <f>IF((160+124)*'Saisie Bât neuf'!$C$18/100&lt;140,140,(160+124)*'Saisie Bât neuf'!$C$18/100)</f>
        <v>140</v>
      </c>
      <c r="S23" s="52"/>
      <c r="T23" s="1" t="s">
        <v>379</v>
      </c>
      <c r="U23" s="52"/>
      <c r="X23" s="43" t="s">
        <v>198</v>
      </c>
      <c r="AE23" s="43" t="s">
        <v>396</v>
      </c>
      <c r="AQ23" s="44" t="s">
        <v>145</v>
      </c>
      <c r="AR23" s="44">
        <f>'Saisie Bât neuf'!C15*18+('Saisie Bât neuf'!K15+'Saisie Bât neuf'!L15-1)*'Saisie Bât neuf'!C15*4.5</f>
        <v>0</v>
      </c>
      <c r="AS23" s="44" t="e">
        <f>AR23*AS7+AR7</f>
        <v>#N/A</v>
      </c>
      <c r="BA23" s="115"/>
      <c r="BB23" s="44" t="s">
        <v>199</v>
      </c>
      <c r="BC23" s="44">
        <f>AS6</f>
        <v>0.25159999999999999</v>
      </c>
      <c r="BD23" s="77">
        <f>($BC$30/BM23)*BC23*0.4</f>
        <v>111.23368421052633</v>
      </c>
      <c r="BE23" s="44" t="e">
        <f>$AS7</f>
        <v>#N/A</v>
      </c>
      <c r="BF23" s="77" t="e">
        <f>($BE$30/$BM23)*BE23*0.4</f>
        <v>#N/A</v>
      </c>
      <c r="BG23" s="44" t="e">
        <f>$AS8</f>
        <v>#N/A</v>
      </c>
      <c r="BH23" s="77" t="e">
        <f>($BG$30/$BM23)*BG23*0.4</f>
        <v>#N/A</v>
      </c>
      <c r="BI23" s="44" t="e">
        <f>AS9</f>
        <v>#N/A</v>
      </c>
      <c r="BJ23" s="77" t="e">
        <f>($BI$30/BM23)*BI23*0.4</f>
        <v>#N/A</v>
      </c>
      <c r="BK23" s="81" t="e">
        <f>AS10</f>
        <v>#N/A</v>
      </c>
      <c r="BL23" s="77" t="e">
        <f>($BK$30/BM23)*BK23*0.4</f>
        <v>#N/A</v>
      </c>
      <c r="BM23" s="44">
        <v>0.95</v>
      </c>
      <c r="BN23" s="44" t="s">
        <v>196</v>
      </c>
    </row>
    <row r="24" spans="1:66" x14ac:dyDescent="0.25">
      <c r="A24" s="44" t="s">
        <v>200</v>
      </c>
      <c r="B24" s="44">
        <v>21</v>
      </c>
      <c r="C24" s="44" t="s">
        <v>153</v>
      </c>
      <c r="D24" s="44">
        <f t="shared" si="0"/>
        <v>1.2</v>
      </c>
      <c r="E24" s="44">
        <f>IF('Saisie Bât neuf'!$C$4&gt;799,0.2,IF('Saisie Bât neuf'!$C$4&gt;399,0.1,0))</f>
        <v>0</v>
      </c>
      <c r="F24" s="44">
        <f>IF('Saisie Bât neuf'!$C$5="Non",50*(D24+E24),50*(D24+E24)+12)</f>
        <v>60</v>
      </c>
      <c r="G24" s="44">
        <v>-10</v>
      </c>
      <c r="H24" s="44">
        <f t="shared" si="3"/>
        <v>1</v>
      </c>
      <c r="I24" s="51">
        <f>IF(160*'Saisie Bât neuf'!$C$14/100&lt;80,80,160*'Saisie Bât neuf'!$C$14/100)</f>
        <v>80</v>
      </c>
      <c r="J24" s="51">
        <f>IF((160+124)*'Saisie Bât neuf'!$C$14/100&lt;140,140,(160+124)*'Saisie Bât neuf'!$C$14/100)</f>
        <v>142</v>
      </c>
      <c r="K24" s="51">
        <f>IF(160*'Saisie Bât neuf'!$C$15/100&lt;80,80,160*'Saisie Bât neuf'!$C$15/100)</f>
        <v>80</v>
      </c>
      <c r="L24" s="51">
        <f>IF((160+124)*'Saisie Bât neuf'!$C$15/100&lt;140,140,(160+124)*'Saisie Bât neuf'!$C$15/100)</f>
        <v>140</v>
      </c>
      <c r="M24" s="51">
        <f>IF(160*'Saisie Bât neuf'!$C$16/100&lt;80,80,160*'Saisie Bât neuf'!$C$16/100)</f>
        <v>80</v>
      </c>
      <c r="N24" s="51">
        <f>IF((160+124)*'Saisie Bât neuf'!$C$16/100&lt;140,140,(160+124)*'Saisie Bât neuf'!$C$16/100)</f>
        <v>140</v>
      </c>
      <c r="O24" s="51">
        <f>IF(160*'Saisie Bât neuf'!$C$17/100&lt;80,80,160*'Saisie Bât neuf'!$C$17/100)</f>
        <v>80</v>
      </c>
      <c r="P24" s="51">
        <f>IF((160+124)*'Saisie Bât neuf'!$C$17/100&lt;140,140,(160+124)*'Saisie Bât neuf'!$C$17/100)</f>
        <v>140</v>
      </c>
      <c r="Q24" s="51">
        <f>IF(160*'Saisie Bât neuf'!$C$18/100&lt;80,80,160*'Saisie Bât neuf'!$C$18/100)</f>
        <v>80</v>
      </c>
      <c r="R24" s="51">
        <f>IF((160+124)*'Saisie Bât neuf'!$C$18/100&lt;140,140,(160+124)*'Saisie Bât neuf'!$C$18/100)</f>
        <v>140</v>
      </c>
      <c r="S24" s="52"/>
      <c r="T24" s="52"/>
      <c r="U24" s="52"/>
      <c r="X24" s="43" t="s">
        <v>201</v>
      </c>
      <c r="AQ24" s="44" t="s">
        <v>149</v>
      </c>
      <c r="AR24" s="44">
        <f>'Saisie Bât neuf'!C16*18+('Saisie Bât neuf'!K16+'Saisie Bât neuf'!L16-1)*'Saisie Bât neuf'!C16*4.5</f>
        <v>0</v>
      </c>
      <c r="AS24" s="44" t="e">
        <f>AR24*AS8+AR8</f>
        <v>#N/A</v>
      </c>
      <c r="BA24" s="115"/>
      <c r="BB24" s="44" t="s">
        <v>203</v>
      </c>
      <c r="BC24" s="44">
        <f>AS15</f>
        <v>0.12839999999999999</v>
      </c>
      <c r="BD24" s="77">
        <f>($BC$30/BM24)*BC24*0.4</f>
        <v>56.766315789473687</v>
      </c>
      <c r="BE24" s="44" t="e">
        <f>AS16</f>
        <v>#N/A</v>
      </c>
      <c r="BF24" s="77" t="e">
        <f>($BE$30/$BM24)*BE24*0.4</f>
        <v>#N/A</v>
      </c>
      <c r="BG24" s="44" t="e">
        <f>AS17</f>
        <v>#N/A</v>
      </c>
      <c r="BH24" s="77" t="e">
        <f>($BG$30/$BM24)*BG24*0.4</f>
        <v>#N/A</v>
      </c>
      <c r="BI24" s="44" t="e">
        <f>AS18</f>
        <v>#N/A</v>
      </c>
      <c r="BJ24" s="77" t="e">
        <f>($BI$30/BM24)*BI24*0.4</f>
        <v>#N/A</v>
      </c>
      <c r="BK24" s="81" t="e">
        <f>AS19</f>
        <v>#N/A</v>
      </c>
      <c r="BL24" s="77" t="e">
        <f>($BK$30/BM24)*BK24*0.4</f>
        <v>#N/A</v>
      </c>
      <c r="BM24" s="44">
        <v>0.95</v>
      </c>
      <c r="BN24" s="44" t="s">
        <v>196</v>
      </c>
    </row>
    <row r="25" spans="1:66" x14ac:dyDescent="0.25">
      <c r="A25" s="44" t="s">
        <v>202</v>
      </c>
      <c r="B25" s="44">
        <v>5</v>
      </c>
      <c r="C25" s="44" t="s">
        <v>153</v>
      </c>
      <c r="D25" s="44">
        <f t="shared" si="0"/>
        <v>1.2</v>
      </c>
      <c r="E25" s="44">
        <f>IF('Saisie Bât neuf'!$C$4&gt;799,0.2,IF('Saisie Bât neuf'!$C$4&gt;399,0.1,0))</f>
        <v>0</v>
      </c>
      <c r="F25" s="44">
        <f>IF('Saisie Bât neuf'!$C$5="Non",50*(D25+E25),50*(D25+E25)+12)</f>
        <v>60</v>
      </c>
      <c r="G25" s="44">
        <v>-10</v>
      </c>
      <c r="H25" s="44">
        <f t="shared" si="3"/>
        <v>1</v>
      </c>
      <c r="I25" s="51">
        <f>IF(160*'Saisie Bât neuf'!$C$14/100&lt;80,80,160*'Saisie Bât neuf'!$C$14/100)</f>
        <v>80</v>
      </c>
      <c r="J25" s="51">
        <f>IF((160+124)*'Saisie Bât neuf'!$C$14/100&lt;140,140,(160+124)*'Saisie Bât neuf'!$C$14/100)</f>
        <v>142</v>
      </c>
      <c r="K25" s="51">
        <f>IF(160*'Saisie Bât neuf'!$C$15/100&lt;80,80,160*'Saisie Bât neuf'!$C$15/100)</f>
        <v>80</v>
      </c>
      <c r="L25" s="51">
        <f>IF((160+124)*'Saisie Bât neuf'!$C$15/100&lt;140,140,(160+124)*'Saisie Bât neuf'!$C$15/100)</f>
        <v>140</v>
      </c>
      <c r="M25" s="51">
        <f>IF(160*'Saisie Bât neuf'!$C$16/100&lt;80,80,160*'Saisie Bât neuf'!$C$16/100)</f>
        <v>80</v>
      </c>
      <c r="N25" s="51">
        <f>IF((160+124)*'Saisie Bât neuf'!$C$16/100&lt;140,140,(160+124)*'Saisie Bât neuf'!$C$16/100)</f>
        <v>140</v>
      </c>
      <c r="O25" s="51">
        <f>IF(160*'Saisie Bât neuf'!$C$17/100&lt;80,80,160*'Saisie Bât neuf'!$C$17/100)</f>
        <v>80</v>
      </c>
      <c r="P25" s="51">
        <f>IF((160+124)*'Saisie Bât neuf'!$C$17/100&lt;140,140,(160+124)*'Saisie Bât neuf'!$C$17/100)</f>
        <v>140</v>
      </c>
      <c r="Q25" s="51">
        <f>IF(160*'Saisie Bât neuf'!$C$18/100&lt;80,80,160*'Saisie Bât neuf'!$C$18/100)</f>
        <v>80</v>
      </c>
      <c r="R25" s="51">
        <f>IF((160+124)*'Saisie Bât neuf'!$C$18/100&lt;140,140,(160+124)*'Saisie Bât neuf'!$C$18/100)</f>
        <v>140</v>
      </c>
      <c r="S25" s="52"/>
      <c r="T25" s="52"/>
      <c r="U25" s="52"/>
      <c r="AQ25" s="44" t="s">
        <v>150</v>
      </c>
      <c r="AR25" s="44">
        <f>'Saisie Bât neuf'!C17*18+('Saisie Bât neuf'!K17+'Saisie Bât neuf'!L17-1)*'Saisie Bât neuf'!C17*4.5</f>
        <v>0</v>
      </c>
      <c r="AS25" s="77" t="e">
        <f>AR25*AS9+AR9</f>
        <v>#N/A</v>
      </c>
      <c r="BA25" s="115"/>
      <c r="BB25" s="44" t="s">
        <v>206</v>
      </c>
      <c r="BC25" s="44">
        <f>AS6</f>
        <v>0.25159999999999999</v>
      </c>
      <c r="BD25" s="77">
        <f>($BC$30/BM25)*BC25</f>
        <v>366.91666666666669</v>
      </c>
      <c r="BE25" s="44" t="e">
        <f>$AS$7</f>
        <v>#N/A</v>
      </c>
      <c r="BF25" s="77" t="e">
        <f>($BE$30/$BM25)*BE25</f>
        <v>#N/A</v>
      </c>
      <c r="BG25" s="44" t="e">
        <f>$AS$8</f>
        <v>#N/A</v>
      </c>
      <c r="BH25" s="77" t="e">
        <f>($BG$30/$BM25)*BG25</f>
        <v>#N/A</v>
      </c>
      <c r="BI25" s="44" t="e">
        <f>AS9</f>
        <v>#N/A</v>
      </c>
      <c r="BJ25" s="77" t="e">
        <f>($BI$30/BM25)*BI25</f>
        <v>#N/A</v>
      </c>
      <c r="BK25" s="81" t="e">
        <f>AS10</f>
        <v>#N/A</v>
      </c>
      <c r="BL25" s="77" t="e">
        <f>($BK$30/BM25)*BK25</f>
        <v>#N/A</v>
      </c>
      <c r="BM25" s="44">
        <v>0.72</v>
      </c>
      <c r="BN25" s="44" t="s">
        <v>193</v>
      </c>
    </row>
    <row r="26" spans="1:66" ht="15" customHeight="1" x14ac:dyDescent="0.25">
      <c r="A26" s="44" t="s">
        <v>204</v>
      </c>
      <c r="B26" s="44">
        <v>46</v>
      </c>
      <c r="C26" s="44" t="s">
        <v>142</v>
      </c>
      <c r="D26" s="44">
        <f t="shared" si="0"/>
        <v>0.9</v>
      </c>
      <c r="E26" s="44">
        <f>IF('Saisie Bât neuf'!$C$4&gt;799,0.2,IF('Saisie Bât neuf'!$C$4&gt;399,0.1,0))</f>
        <v>0</v>
      </c>
      <c r="F26" s="44">
        <f>IF('Saisie Bât neuf'!$C$5="Non",50*(D26+E26),50*(D26+E26)+12)</f>
        <v>45</v>
      </c>
      <c r="G26" s="44">
        <v>-7</v>
      </c>
      <c r="H26" s="44">
        <f t="shared" si="3"/>
        <v>2</v>
      </c>
      <c r="I26" s="51">
        <f>IF(160*'Saisie Bât neuf'!$C$14/100&lt;80,80,160*'Saisie Bât neuf'!$C$14/100)</f>
        <v>80</v>
      </c>
      <c r="J26" s="51">
        <f>IF((160+124)*'Saisie Bât neuf'!$C$14/100&lt;140,140,(160+124)*'Saisie Bât neuf'!$C$14/100)</f>
        <v>142</v>
      </c>
      <c r="K26" s="51">
        <f>IF(160*'Saisie Bât neuf'!$C$15/100&lt;80,80,160*'Saisie Bât neuf'!$C$15/100)</f>
        <v>80</v>
      </c>
      <c r="L26" s="51">
        <f>IF((160+124)*'Saisie Bât neuf'!$C$15/100&lt;140,140,(160+124)*'Saisie Bât neuf'!$C$15/100)</f>
        <v>140</v>
      </c>
      <c r="M26" s="51">
        <f>IF(160*'Saisie Bât neuf'!$C$16/100&lt;80,80,160*'Saisie Bât neuf'!$C$16/100)</f>
        <v>80</v>
      </c>
      <c r="N26" s="51">
        <f>IF((160+124)*'Saisie Bât neuf'!$C$16/100&lt;140,140,(160+124)*'Saisie Bât neuf'!$C$16/100)</f>
        <v>140</v>
      </c>
      <c r="O26" s="51">
        <f>IF(160*'Saisie Bât neuf'!$C$17/100&lt;80,80,160*'Saisie Bât neuf'!$C$17/100)</f>
        <v>80</v>
      </c>
      <c r="P26" s="51">
        <f>IF((160+124)*'Saisie Bât neuf'!$C$17/100&lt;140,140,(160+124)*'Saisie Bât neuf'!$C$17/100)</f>
        <v>140</v>
      </c>
      <c r="Q26" s="51">
        <f>IF(160*'Saisie Bât neuf'!$C$18/100&lt;80,80,160*'Saisie Bât neuf'!$C$18/100)</f>
        <v>80</v>
      </c>
      <c r="R26" s="51">
        <f>IF((160+124)*'Saisie Bât neuf'!$C$18/100&lt;140,140,(160+124)*'Saisie Bât neuf'!$C$18/100)</f>
        <v>140</v>
      </c>
      <c r="S26" s="52"/>
      <c r="T26" s="52"/>
      <c r="U26" s="52"/>
      <c r="X26" s="82" t="s">
        <v>205</v>
      </c>
      <c r="AQ26" s="44" t="s">
        <v>151</v>
      </c>
      <c r="AR26" s="44">
        <f>'Saisie Bât neuf'!C18*18+('Saisie Bât neuf'!K18+'Saisie Bât neuf'!L18-1)*'Saisie Bât neuf'!C18*4.5</f>
        <v>0</v>
      </c>
      <c r="AS26" s="77" t="e">
        <f>AR26*AS10+AR10</f>
        <v>#N/A</v>
      </c>
      <c r="BA26" s="115"/>
      <c r="BB26" s="69" t="s">
        <v>35</v>
      </c>
      <c r="BC26" s="44">
        <f>BC24</f>
        <v>0.12839999999999999</v>
      </c>
      <c r="BD26" s="77">
        <f>($BC$30/BM26)*BC26</f>
        <v>168.52499999999998</v>
      </c>
      <c r="BE26" s="44" t="e">
        <f>BE24</f>
        <v>#N/A</v>
      </c>
      <c r="BF26" s="77" t="e">
        <f>($BE$30/$BM26)*BE26</f>
        <v>#N/A</v>
      </c>
      <c r="BG26" s="44" t="e">
        <f>BG24</f>
        <v>#N/A</v>
      </c>
      <c r="BH26" s="77" t="e">
        <f>($BG$30/$BM26)*BG26</f>
        <v>#N/A</v>
      </c>
      <c r="BI26" s="44" t="e">
        <f>AS18</f>
        <v>#N/A</v>
      </c>
      <c r="BJ26" s="77" t="e">
        <f>($BI$30/BM26)*BI26</f>
        <v>#N/A</v>
      </c>
      <c r="BK26" s="81" t="e">
        <f>BK24</f>
        <v>#N/A</v>
      </c>
      <c r="BL26" s="77" t="e">
        <f>($BK$30/BM26)*BK26</f>
        <v>#N/A</v>
      </c>
      <c r="BM26" s="44">
        <v>0.8</v>
      </c>
      <c r="BN26" s="44" t="s">
        <v>211</v>
      </c>
    </row>
    <row r="27" spans="1:66" ht="15" customHeight="1" x14ac:dyDescent="0.25">
      <c r="A27" s="44" t="s">
        <v>207</v>
      </c>
      <c r="B27" s="44">
        <v>38</v>
      </c>
      <c r="C27" s="44" t="s">
        <v>153</v>
      </c>
      <c r="D27" s="44">
        <f t="shared" si="0"/>
        <v>1.2</v>
      </c>
      <c r="E27" s="44">
        <f>IF('Saisie Bât neuf'!$C$4&gt;799,0.2,IF('Saisie Bât neuf'!$C$4&gt;399,0.1,0))</f>
        <v>0</v>
      </c>
      <c r="F27" s="44">
        <f>IF('Saisie Bât neuf'!$C$5="Non",50*(D27+E27),50*(D27+E27)+12)</f>
        <v>60</v>
      </c>
      <c r="G27" s="44">
        <v>-10</v>
      </c>
      <c r="H27" s="44">
        <f t="shared" si="3"/>
        <v>1</v>
      </c>
      <c r="I27" s="51">
        <f>IF(160*'Saisie Bât neuf'!$C$14/100&lt;80,80,160*'Saisie Bât neuf'!$C$14/100)</f>
        <v>80</v>
      </c>
      <c r="J27" s="51">
        <f>IF((160+124)*'Saisie Bât neuf'!$C$14/100&lt;140,140,(160+124)*'Saisie Bât neuf'!$C$14/100)</f>
        <v>142</v>
      </c>
      <c r="K27" s="51">
        <f>IF(160*'Saisie Bât neuf'!$C$15/100&lt;80,80,160*'Saisie Bât neuf'!$C$15/100)</f>
        <v>80</v>
      </c>
      <c r="L27" s="51">
        <f>IF((160+124)*'Saisie Bât neuf'!$C$15/100&lt;140,140,(160+124)*'Saisie Bât neuf'!$C$15/100)</f>
        <v>140</v>
      </c>
      <c r="M27" s="51">
        <f>IF(160*'Saisie Bât neuf'!$C$16/100&lt;80,80,160*'Saisie Bât neuf'!$C$16/100)</f>
        <v>80</v>
      </c>
      <c r="N27" s="51">
        <f>IF((160+124)*'Saisie Bât neuf'!$C$16/100&lt;140,140,(160+124)*'Saisie Bât neuf'!$C$16/100)</f>
        <v>140</v>
      </c>
      <c r="O27" s="51">
        <f>IF(160*'Saisie Bât neuf'!$C$17/100&lt;80,80,160*'Saisie Bât neuf'!$C$17/100)</f>
        <v>80</v>
      </c>
      <c r="P27" s="51">
        <f>IF((160+124)*'Saisie Bât neuf'!$C$17/100&lt;140,140,(160+124)*'Saisie Bât neuf'!$C$17/100)</f>
        <v>140</v>
      </c>
      <c r="Q27" s="51">
        <f>IF(160*'Saisie Bât neuf'!$C$18/100&lt;80,80,160*'Saisie Bât neuf'!$C$18/100)</f>
        <v>80</v>
      </c>
      <c r="R27" s="51">
        <f>IF((160+124)*'Saisie Bât neuf'!$C$18/100&lt;140,140,(160+124)*'Saisie Bât neuf'!$C$18/100)</f>
        <v>140</v>
      </c>
      <c r="S27" s="52"/>
      <c r="T27" s="52"/>
      <c r="U27" s="52"/>
      <c r="X27" s="82" t="s">
        <v>208</v>
      </c>
      <c r="BA27" s="115"/>
      <c r="BB27" s="44" t="s">
        <v>215</v>
      </c>
      <c r="BC27" s="44">
        <f>BC22</f>
        <v>7.0500000000000007E-2</v>
      </c>
      <c r="BD27" s="77">
        <f>($BC$30/BM27)*BC27*0.35</f>
        <v>27.272368421052633</v>
      </c>
      <c r="BE27" s="44">
        <f>BC27</f>
        <v>7.0500000000000007E-2</v>
      </c>
      <c r="BF27" s="77">
        <f>($BE$30/$BM27)*BE27*0.35</f>
        <v>5.4544736842105266</v>
      </c>
      <c r="BG27" s="44">
        <f>BC27</f>
        <v>7.0500000000000007E-2</v>
      </c>
      <c r="BH27" s="77">
        <f>($BG$30/$BM27)*BG27*0.35</f>
        <v>5.4544736842105266</v>
      </c>
      <c r="BI27" s="44">
        <f>BC27</f>
        <v>7.0500000000000007E-2</v>
      </c>
      <c r="BJ27" s="77">
        <f>($BI$30/BM27)*BI27*0.35</f>
        <v>5.4544736842105266</v>
      </c>
      <c r="BK27" s="81">
        <f>BC22</f>
        <v>7.0500000000000007E-2</v>
      </c>
      <c r="BL27" s="77">
        <f>($BK$30/BM27)*BK27*0.35</f>
        <v>5.4544736842105266</v>
      </c>
      <c r="BM27" s="44">
        <v>0.95</v>
      </c>
      <c r="BN27" s="44" t="s">
        <v>196</v>
      </c>
    </row>
    <row r="28" spans="1:66" x14ac:dyDescent="0.25">
      <c r="A28" s="44" t="s">
        <v>209</v>
      </c>
      <c r="B28" s="44">
        <v>17</v>
      </c>
      <c r="C28" s="44" t="s">
        <v>158</v>
      </c>
      <c r="D28" s="44">
        <f t="shared" si="0"/>
        <v>1</v>
      </c>
      <c r="E28" s="44">
        <f>IF('Saisie Bât neuf'!$C$4&gt;799,0.2,IF('Saisie Bât neuf'!$C$4&gt;399,0.1,0))</f>
        <v>0</v>
      </c>
      <c r="F28" s="44">
        <f>IF('Saisie Bât neuf'!$C$5="Non",50*(D28+E28),50*(D28+E28)+12)</f>
        <v>50</v>
      </c>
      <c r="G28" s="44">
        <v>-4</v>
      </c>
      <c r="H28" s="44">
        <f t="shared" si="3"/>
        <v>2</v>
      </c>
      <c r="I28" s="51">
        <f>IF(160*'Saisie Bât neuf'!$C$14/100&lt;80,80,160*'Saisie Bât neuf'!$C$14/100)</f>
        <v>80</v>
      </c>
      <c r="J28" s="51">
        <f>IF((160+124)*'Saisie Bât neuf'!$C$14/100&lt;140,140,(160+124)*'Saisie Bât neuf'!$C$14/100)</f>
        <v>142</v>
      </c>
      <c r="K28" s="51">
        <f>IF(160*'Saisie Bât neuf'!$C$15/100&lt;80,80,160*'Saisie Bât neuf'!$C$15/100)</f>
        <v>80</v>
      </c>
      <c r="L28" s="51">
        <f>IF((160+124)*'Saisie Bât neuf'!$C$15/100&lt;140,140,(160+124)*'Saisie Bât neuf'!$C$15/100)</f>
        <v>140</v>
      </c>
      <c r="M28" s="51">
        <f>IF(160*'Saisie Bât neuf'!$C$16/100&lt;80,80,160*'Saisie Bât neuf'!$C$16/100)</f>
        <v>80</v>
      </c>
      <c r="N28" s="51">
        <f>IF((160+124)*'Saisie Bât neuf'!$C$16/100&lt;140,140,(160+124)*'Saisie Bât neuf'!$C$16/100)</f>
        <v>140</v>
      </c>
      <c r="O28" s="51">
        <f>IF(160*'Saisie Bât neuf'!$C$17/100&lt;80,80,160*'Saisie Bât neuf'!$C$17/100)</f>
        <v>80</v>
      </c>
      <c r="P28" s="51">
        <f>IF((160+124)*'Saisie Bât neuf'!$C$17/100&lt;140,140,(160+124)*'Saisie Bât neuf'!$C$17/100)</f>
        <v>140</v>
      </c>
      <c r="Q28" s="51">
        <f>IF(160*'Saisie Bât neuf'!$C$18/100&lt;80,80,160*'Saisie Bât neuf'!$C$18/100)</f>
        <v>80</v>
      </c>
      <c r="R28" s="51">
        <f>IF((160+124)*'Saisie Bât neuf'!$C$18/100&lt;140,140,(160+124)*'Saisie Bât neuf'!$C$18/100)</f>
        <v>140</v>
      </c>
      <c r="S28" s="52"/>
      <c r="T28" s="52"/>
      <c r="U28" s="52"/>
      <c r="AR28" s="69" t="s">
        <v>210</v>
      </c>
      <c r="AS28" s="79" t="s">
        <v>190</v>
      </c>
      <c r="BA28" s="115"/>
      <c r="BB28" s="44" t="s">
        <v>218</v>
      </c>
      <c r="BC28" s="44">
        <f>AS6</f>
        <v>0.25159999999999999</v>
      </c>
      <c r="BD28" s="77">
        <f>($BC$30/BM28)*BC28*0.35</f>
        <v>97.329473684210527</v>
      </c>
      <c r="BE28" s="44" t="e">
        <f>$AS$7</f>
        <v>#N/A</v>
      </c>
      <c r="BF28" s="77" t="e">
        <f>($BE$30/$BM28)*BE28*0.35</f>
        <v>#N/A</v>
      </c>
      <c r="BG28" s="44" t="e">
        <f>$AS$8</f>
        <v>#N/A</v>
      </c>
      <c r="BH28" s="77" t="e">
        <f>($BG$30/$BM28)*BG28*0.35</f>
        <v>#N/A</v>
      </c>
      <c r="BI28" s="44" t="e">
        <f>AS9</f>
        <v>#N/A</v>
      </c>
      <c r="BJ28" s="77" t="e">
        <f>($BI$30/BM28)*BI28*0.35</f>
        <v>#N/A</v>
      </c>
      <c r="BK28" s="81" t="e">
        <f>AS10</f>
        <v>#N/A</v>
      </c>
      <c r="BL28" s="77" t="e">
        <f>($BK$30/BM28)*BK28*0.35</f>
        <v>#N/A</v>
      </c>
      <c r="BM28" s="44">
        <v>0.95</v>
      </c>
      <c r="BN28" s="44" t="s">
        <v>196</v>
      </c>
    </row>
    <row r="29" spans="1:66" x14ac:dyDescent="0.25">
      <c r="A29" s="44" t="s">
        <v>212</v>
      </c>
      <c r="B29" s="44">
        <v>52</v>
      </c>
      <c r="C29" s="44" t="s">
        <v>213</v>
      </c>
      <c r="D29" s="44">
        <f t="shared" si="0"/>
        <v>1.3</v>
      </c>
      <c r="E29" s="44">
        <f>IF('Saisie Bât neuf'!$C$4&gt;799,0.2,IF('Saisie Bât neuf'!$C$4&gt;399,0.1,0))</f>
        <v>0</v>
      </c>
      <c r="F29" s="44">
        <f>IF('Saisie Bât neuf'!$C$5="Non",50*(D29+E29),50*(D29+E29)+12)</f>
        <v>65</v>
      </c>
      <c r="G29" s="44">
        <v>-12</v>
      </c>
      <c r="H29" s="44">
        <f t="shared" si="3"/>
        <v>1</v>
      </c>
      <c r="I29" s="51">
        <f>IF(160*'Saisie Bât neuf'!$C$14/100&lt;80,80,160*'Saisie Bât neuf'!$C$14/100)</f>
        <v>80</v>
      </c>
      <c r="J29" s="51">
        <f>IF((160+124)*'Saisie Bât neuf'!$C$14/100&lt;140,140,(160+124)*'Saisie Bât neuf'!$C$14/100)</f>
        <v>142</v>
      </c>
      <c r="K29" s="51">
        <f>IF(160*'Saisie Bât neuf'!$C$15/100&lt;80,80,160*'Saisie Bât neuf'!$C$15/100)</f>
        <v>80</v>
      </c>
      <c r="L29" s="51">
        <f>IF((160+124)*'Saisie Bât neuf'!$C$15/100&lt;140,140,(160+124)*'Saisie Bât neuf'!$C$15/100)</f>
        <v>140</v>
      </c>
      <c r="M29" s="51">
        <f>IF(160*'Saisie Bât neuf'!$C$16/100&lt;80,80,160*'Saisie Bât neuf'!$C$16/100)</f>
        <v>80</v>
      </c>
      <c r="N29" s="51">
        <f>IF((160+124)*'Saisie Bât neuf'!$C$16/100&lt;140,140,(160+124)*'Saisie Bât neuf'!$C$16/100)</f>
        <v>140</v>
      </c>
      <c r="O29" s="51">
        <f>IF(160*'Saisie Bât neuf'!$C$17/100&lt;80,80,160*'Saisie Bât neuf'!$C$17/100)</f>
        <v>80</v>
      </c>
      <c r="P29" s="51">
        <f>IF((160+124)*'Saisie Bât neuf'!$C$17/100&lt;140,140,(160+124)*'Saisie Bât neuf'!$C$17/100)</f>
        <v>140</v>
      </c>
      <c r="Q29" s="51">
        <f>IF(160*'Saisie Bât neuf'!$C$18/100&lt;80,80,160*'Saisie Bât neuf'!$C$18/100)</f>
        <v>80</v>
      </c>
      <c r="R29" s="51">
        <f>IF((160+124)*'Saisie Bât neuf'!$C$18/100&lt;140,140,(160+124)*'Saisie Bât neuf'!$C$18/100)</f>
        <v>140</v>
      </c>
      <c r="S29" s="52"/>
      <c r="T29" s="52"/>
      <c r="U29" s="52"/>
      <c r="X29" s="43" t="s">
        <v>214</v>
      </c>
      <c r="AN29" s="83"/>
      <c r="AQ29" s="44" t="s">
        <v>140</v>
      </c>
      <c r="AR29" s="44">
        <f>350+IF('Saisie Bât neuf'!K14+'Saisie Bât neuf'!L14&gt;1,80*('Saisie Bât neuf'!K14+'Saisie Bât neuf'!L14-1),0)</f>
        <v>510</v>
      </c>
      <c r="AS29" s="77">
        <f>IF('Saisie Bât neuf'!J14="éléctricité",'calculs Bât neuf'!$AS$6,IF('Saisie Bât neuf'!J14="gaz de ville",'calculs Bât neuf'!$AS$15,'Référence&amp;tarifs'!$B$26))*AR29</f>
        <v>108.87640449438202</v>
      </c>
      <c r="AW29" s="43">
        <f>AR29*AS6</f>
        <v>128.316</v>
      </c>
      <c r="AX29" s="43">
        <f>AR29*AS15</f>
        <v>65.483999999999995</v>
      </c>
      <c r="BA29" s="115"/>
      <c r="BB29" s="44" t="s">
        <v>223</v>
      </c>
      <c r="BC29" s="44">
        <f>BC26</f>
        <v>0.12839999999999999</v>
      </c>
      <c r="BD29" s="77">
        <f>($BC$30/BM29)*BC29*0.35</f>
        <v>49.670526315789473</v>
      </c>
      <c r="BE29" s="44" t="e">
        <f>BE26</f>
        <v>#N/A</v>
      </c>
      <c r="BF29" s="77" t="e">
        <f>($BE$30/$BM29)*BE29*0.35</f>
        <v>#N/A</v>
      </c>
      <c r="BG29" s="44" t="e">
        <f>BG26</f>
        <v>#N/A</v>
      </c>
      <c r="BH29" s="77" t="e">
        <f>($BG$30/$BM29)*BG29*0.35</f>
        <v>#N/A</v>
      </c>
      <c r="BI29" s="44" t="e">
        <f>AS18</f>
        <v>#N/A</v>
      </c>
      <c r="BJ29" s="77" t="e">
        <f>($BI$30/BM29)*BI29*0.35</f>
        <v>#N/A</v>
      </c>
      <c r="BK29" s="81" t="e">
        <f>BK26</f>
        <v>#N/A</v>
      </c>
      <c r="BL29" s="77" t="e">
        <f>($BK$30/BM29)*BK29*0.35</f>
        <v>#N/A</v>
      </c>
      <c r="BM29" s="44">
        <v>0.95</v>
      </c>
      <c r="BN29" s="44" t="s">
        <v>196</v>
      </c>
    </row>
    <row r="30" spans="1:66" x14ac:dyDescent="0.25">
      <c r="A30" s="44" t="s">
        <v>216</v>
      </c>
      <c r="B30" s="44">
        <v>72</v>
      </c>
      <c r="C30" s="44" t="s">
        <v>137</v>
      </c>
      <c r="D30" s="44">
        <f t="shared" si="0"/>
        <v>1.3</v>
      </c>
      <c r="E30" s="44">
        <f>IF('Saisie Bât neuf'!$C$4&gt;799,0.2,IF('Saisie Bât neuf'!$C$4&gt;399,0.1,0))</f>
        <v>0</v>
      </c>
      <c r="F30" s="44">
        <f>IF('Saisie Bât neuf'!$C$5="Non",50*(D30+E30),50*(D30+E30)+12)</f>
        <v>65</v>
      </c>
      <c r="G30" s="44">
        <v>-7</v>
      </c>
      <c r="H30" s="44">
        <f t="shared" si="3"/>
        <v>1</v>
      </c>
      <c r="I30" s="51">
        <f>IF(160*'Saisie Bât neuf'!$C$14/100&lt;80,80,160*'Saisie Bât neuf'!$C$14/100)</f>
        <v>80</v>
      </c>
      <c r="J30" s="51">
        <f>IF((160+124)*'Saisie Bât neuf'!$C$14/100&lt;140,140,(160+124)*'Saisie Bât neuf'!$C$14/100)</f>
        <v>142</v>
      </c>
      <c r="K30" s="51">
        <f>IF(160*'Saisie Bât neuf'!$C$15/100&lt;80,80,160*'Saisie Bât neuf'!$C$15/100)</f>
        <v>80</v>
      </c>
      <c r="L30" s="51">
        <f>IF((160+124)*'Saisie Bât neuf'!$C$15/100&lt;140,140,(160+124)*'Saisie Bât neuf'!$C$15/100)</f>
        <v>140</v>
      </c>
      <c r="M30" s="51">
        <f>IF(160*'Saisie Bât neuf'!$C$16/100&lt;80,80,160*'Saisie Bât neuf'!$C$16/100)</f>
        <v>80</v>
      </c>
      <c r="N30" s="51">
        <f>IF((160+124)*'Saisie Bât neuf'!$C$16/100&lt;140,140,(160+124)*'Saisie Bât neuf'!$C$16/100)</f>
        <v>140</v>
      </c>
      <c r="O30" s="51">
        <f>IF(160*'Saisie Bât neuf'!$C$17/100&lt;80,80,160*'Saisie Bât neuf'!$C$17/100)</f>
        <v>80</v>
      </c>
      <c r="P30" s="51">
        <f>IF((160+124)*'Saisie Bât neuf'!$C$17/100&lt;140,140,(160+124)*'Saisie Bât neuf'!$C$17/100)</f>
        <v>140</v>
      </c>
      <c r="Q30" s="51">
        <f>IF(160*'Saisie Bât neuf'!$C$18/100&lt;80,80,160*'Saisie Bât neuf'!$C$18/100)</f>
        <v>80</v>
      </c>
      <c r="R30" s="51">
        <f>IF((160+124)*'Saisie Bât neuf'!$C$18/100&lt;140,140,(160+124)*'Saisie Bât neuf'!$C$18/100)</f>
        <v>140</v>
      </c>
      <c r="S30" s="52"/>
      <c r="T30" s="52"/>
      <c r="U30" s="52"/>
      <c r="X30" s="43" t="s">
        <v>217</v>
      </c>
      <c r="AN30" s="83"/>
      <c r="AQ30" s="44" t="s">
        <v>145</v>
      </c>
      <c r="AR30" s="44">
        <f>350+IF('Saisie Bât neuf'!K15+'Saisie Bât neuf'!L15&gt;1,80*('Saisie Bât neuf'!K15+'Saisie Bât neuf'!L15-1),0)</f>
        <v>350</v>
      </c>
      <c r="AS30" s="77">
        <f>IF('Saisie Bât neuf'!J15="éléctricité",'calculs Bât neuf'!$AS$6,IF('Saisie Bât neuf'!J15="gaz de ville",'calculs Bât neuf'!$AS$15,'Référence&amp;tarifs'!$B$26))*AR30</f>
        <v>74.719101123595507</v>
      </c>
      <c r="BB30" s="44" t="s">
        <v>227</v>
      </c>
      <c r="BC30" s="215">
        <f>BF33+BF34*('Saisie Bât neuf'!$K14+'Saisie Bât neuf'!$L14-1)</f>
        <v>1050</v>
      </c>
      <c r="BD30" s="215"/>
      <c r="BE30" s="215">
        <f>BF33+BF34*('Saisie Bât neuf'!$K15+'Saisie Bât neuf'!$L15-1)</f>
        <v>210</v>
      </c>
      <c r="BF30" s="215"/>
      <c r="BG30" s="215">
        <f>BF33+BF34*('Saisie Bât neuf'!$K16+'Saisie Bât neuf'!$L16-1)</f>
        <v>210</v>
      </c>
      <c r="BH30" s="215"/>
      <c r="BI30" s="215">
        <f>BF33+BF34*('Saisie Bât neuf'!K17+'Saisie Bât neuf'!L17-1)</f>
        <v>210</v>
      </c>
      <c r="BJ30" s="215"/>
      <c r="BK30" s="215">
        <f>BF33+BF34*('Saisie Bât neuf'!K18+'Saisie Bât neuf'!L18-1)</f>
        <v>210</v>
      </c>
      <c r="BL30" s="215"/>
    </row>
    <row r="31" spans="1:66" x14ac:dyDescent="0.25">
      <c r="A31" s="44" t="s">
        <v>3</v>
      </c>
      <c r="B31" s="44">
        <v>59</v>
      </c>
      <c r="C31" s="44" t="s">
        <v>137</v>
      </c>
      <c r="D31" s="44">
        <f t="shared" si="0"/>
        <v>1.3</v>
      </c>
      <c r="E31" s="44">
        <f>IF('Saisie Bât neuf'!$C$4&gt;799,0.2,IF('Saisie Bât neuf'!$C$4&gt;399,0.1,0))</f>
        <v>0</v>
      </c>
      <c r="F31" s="44">
        <f>IF('Saisie Bât neuf'!$C$5="Non",50*(D31+E31),50*(D31+E31)+12)</f>
        <v>65</v>
      </c>
      <c r="G31" s="44">
        <v>-9</v>
      </c>
      <c r="H31" s="44">
        <f t="shared" si="3"/>
        <v>1</v>
      </c>
      <c r="I31" s="51">
        <f>IF(160*'Saisie Bât neuf'!$C$14/100&lt;80,80,160*'Saisie Bât neuf'!$C$14/100)</f>
        <v>80</v>
      </c>
      <c r="J31" s="51">
        <f>IF((160+124)*'Saisie Bât neuf'!$C$14/100&lt;140,140,(160+124)*'Saisie Bât neuf'!$C$14/100)</f>
        <v>142</v>
      </c>
      <c r="K31" s="51">
        <f>IF(160*'Saisie Bât neuf'!$C$15/100&lt;80,80,160*'Saisie Bât neuf'!$C$15/100)</f>
        <v>80</v>
      </c>
      <c r="L31" s="51">
        <f>IF((160+124)*'Saisie Bât neuf'!$C$15/100&lt;140,140,(160+124)*'Saisie Bât neuf'!$C$15/100)</f>
        <v>140</v>
      </c>
      <c r="M31" s="51">
        <f>IF(160*'Saisie Bât neuf'!$C$16/100&lt;80,80,160*'Saisie Bât neuf'!$C$16/100)</f>
        <v>80</v>
      </c>
      <c r="N31" s="51">
        <f>IF((160+124)*'Saisie Bât neuf'!$C$16/100&lt;140,140,(160+124)*'Saisie Bât neuf'!$C$16/100)</f>
        <v>140</v>
      </c>
      <c r="O31" s="51">
        <f>IF(160*'Saisie Bât neuf'!$C$17/100&lt;80,80,160*'Saisie Bât neuf'!$C$17/100)</f>
        <v>80</v>
      </c>
      <c r="P31" s="51">
        <f>IF((160+124)*'Saisie Bât neuf'!$C$17/100&lt;140,140,(160+124)*'Saisie Bât neuf'!$C$17/100)</f>
        <v>140</v>
      </c>
      <c r="Q31" s="51">
        <f>IF(160*'Saisie Bât neuf'!$C$18/100&lt;80,80,160*'Saisie Bât neuf'!$C$18/100)</f>
        <v>80</v>
      </c>
      <c r="R31" s="51">
        <f>IF((160+124)*'Saisie Bât neuf'!$C$18/100&lt;140,140,(160+124)*'Saisie Bât neuf'!$C$18/100)</f>
        <v>140</v>
      </c>
      <c r="S31" s="52"/>
      <c r="T31" s="52"/>
      <c r="U31" s="52"/>
      <c r="AK31" s="43" t="s">
        <v>219</v>
      </c>
      <c r="AN31" s="83"/>
      <c r="AQ31" s="44" t="s">
        <v>149</v>
      </c>
      <c r="AR31" s="44">
        <f>350+IF('Saisie Bât neuf'!K16+'Saisie Bât neuf'!L16&gt;1,80*('Saisie Bât neuf'!K16+'Saisie Bât neuf'!L16-1),0)</f>
        <v>350</v>
      </c>
      <c r="AS31" s="77">
        <f>IF('Saisie Bât neuf'!J16="éléctricité",'calculs Bât neuf'!$AS$6,IF('Saisie Bât neuf'!J16="gaz de ville",'calculs Bât neuf'!$AS$15,'Référence&amp;tarifs'!$B$26))*AR31</f>
        <v>74.719101123595507</v>
      </c>
      <c r="BC31" s="43" t="s">
        <v>230</v>
      </c>
      <c r="BD31" s="43" t="s">
        <v>231</v>
      </c>
    </row>
    <row r="32" spans="1:66" x14ac:dyDescent="0.25">
      <c r="A32" s="44" t="s">
        <v>220</v>
      </c>
      <c r="B32" s="44">
        <v>87</v>
      </c>
      <c r="C32" s="44" t="s">
        <v>153</v>
      </c>
      <c r="D32" s="44">
        <f t="shared" si="0"/>
        <v>1.2</v>
      </c>
      <c r="E32" s="44">
        <f>IF('Saisie Bât neuf'!$C$4&gt;799,0.2,IF('Saisie Bât neuf'!$C$4&gt;399,0.1,0))</f>
        <v>0</v>
      </c>
      <c r="F32" s="44">
        <f>IF('Saisie Bât neuf'!$C$5="Non",50*(D32+E32),50*(D32+E32)+12)</f>
        <v>60</v>
      </c>
      <c r="G32" s="44">
        <v>-8</v>
      </c>
      <c r="H32" s="44">
        <f t="shared" si="3"/>
        <v>1</v>
      </c>
      <c r="I32" s="51">
        <f>IF(160*'Saisie Bât neuf'!$C$14/100&lt;80,80,160*'Saisie Bât neuf'!$C$14/100)</f>
        <v>80</v>
      </c>
      <c r="J32" s="51">
        <f>IF((160+124)*'Saisie Bât neuf'!$C$14/100&lt;140,140,(160+124)*'Saisie Bât neuf'!$C$14/100)</f>
        <v>142</v>
      </c>
      <c r="K32" s="51">
        <f>IF(160*'Saisie Bât neuf'!$C$15/100&lt;80,80,160*'Saisie Bât neuf'!$C$15/100)</f>
        <v>80</v>
      </c>
      <c r="L32" s="51">
        <f>IF((160+124)*'Saisie Bât neuf'!$C$15/100&lt;140,140,(160+124)*'Saisie Bât neuf'!$C$15/100)</f>
        <v>140</v>
      </c>
      <c r="M32" s="51">
        <f>IF(160*'Saisie Bât neuf'!$C$16/100&lt;80,80,160*'Saisie Bât neuf'!$C$16/100)</f>
        <v>80</v>
      </c>
      <c r="N32" s="51">
        <f>IF((160+124)*'Saisie Bât neuf'!$C$16/100&lt;140,140,(160+124)*'Saisie Bât neuf'!$C$16/100)</f>
        <v>140</v>
      </c>
      <c r="O32" s="51">
        <f>IF(160*'Saisie Bât neuf'!$C$17/100&lt;80,80,160*'Saisie Bât neuf'!$C$17/100)</f>
        <v>80</v>
      </c>
      <c r="P32" s="51">
        <f>IF((160+124)*'Saisie Bât neuf'!$C$17/100&lt;140,140,(160+124)*'Saisie Bât neuf'!$C$17/100)</f>
        <v>140</v>
      </c>
      <c r="Q32" s="51">
        <f>IF(160*'Saisie Bât neuf'!$C$18/100&lt;80,80,160*'Saisie Bât neuf'!$C$18/100)</f>
        <v>80</v>
      </c>
      <c r="R32" s="51">
        <f>IF((160+124)*'Saisie Bât neuf'!$C$18/100&lt;140,140,(160+124)*'Saisie Bât neuf'!$C$18/100)</f>
        <v>140</v>
      </c>
      <c r="S32" s="52"/>
      <c r="T32" s="52"/>
      <c r="U32" s="52"/>
      <c r="X32" s="43" t="s">
        <v>221</v>
      </c>
      <c r="AK32" s="43" t="s">
        <v>222</v>
      </c>
      <c r="AN32" s="83"/>
      <c r="AQ32" s="44" t="s">
        <v>150</v>
      </c>
      <c r="AR32" s="44">
        <f>350+IF('Saisie Bât neuf'!K17+'Saisie Bât neuf'!L17&gt;1,80*('Saisie Bât neuf'!K17+'Saisie Bât neuf'!L17-1),0)</f>
        <v>350</v>
      </c>
      <c r="AS32" s="44">
        <f>IF('Saisie Bât neuf'!J17="éléctricité",'calculs Bât neuf'!$AS$6,IF('Saisie Bât neuf'!J17="gaz de ville",'calculs Bât neuf'!$AS18,'Référence&amp;tarifs'!$B$26))*AR32</f>
        <v>74.719101123595507</v>
      </c>
      <c r="BB32" s="43" t="s">
        <v>140</v>
      </c>
      <c r="BC32" s="85">
        <f>VLOOKUP('Saisie Bât neuf'!E14,'calculs Bât neuf'!$BB$21:$BN$29,3,0)</f>
        <v>132.09</v>
      </c>
      <c r="BD32" s="85">
        <f>BC32/VLOOKUP('Saisie Bât neuf'!E14,'calculs Bât neuf'!$BB$21:$BN$29,2,0)</f>
        <v>525</v>
      </c>
      <c r="BF32" s="43" t="s">
        <v>362</v>
      </c>
    </row>
    <row r="33" spans="1:64" x14ac:dyDescent="0.25">
      <c r="A33" s="44" t="s">
        <v>224</v>
      </c>
      <c r="B33" s="44">
        <v>56</v>
      </c>
      <c r="C33" s="44" t="s">
        <v>181</v>
      </c>
      <c r="D33" s="44">
        <f t="shared" si="0"/>
        <v>1.1000000000000001</v>
      </c>
      <c r="E33" s="44">
        <f>IF('Saisie Bât neuf'!$C$4&gt;799,0.2,IF('Saisie Bât neuf'!$C$4&gt;399,0.1,0))</f>
        <v>0</v>
      </c>
      <c r="F33" s="44">
        <f>IF('Saisie Bât neuf'!$C$5="Non",50*(D33+E33),50*(D33+E33)+12)</f>
        <v>55.000000000000007</v>
      </c>
      <c r="G33" s="44">
        <v>-4</v>
      </c>
      <c r="H33" s="44">
        <f t="shared" si="3"/>
        <v>2</v>
      </c>
      <c r="I33" s="51">
        <f>IF(160*'Saisie Bât neuf'!$C$14/100&lt;80,80,160*'Saisie Bât neuf'!$C$14/100)</f>
        <v>80</v>
      </c>
      <c r="J33" s="51">
        <f>IF((160+124)*'Saisie Bât neuf'!$C$14/100&lt;140,140,(160+124)*'Saisie Bât neuf'!$C$14/100)</f>
        <v>142</v>
      </c>
      <c r="K33" s="51">
        <f>IF(160*'Saisie Bât neuf'!$C$15/100&lt;80,80,160*'Saisie Bât neuf'!$C$15/100)</f>
        <v>80</v>
      </c>
      <c r="L33" s="51">
        <f>IF((160+124)*'Saisie Bât neuf'!$C$15/100&lt;140,140,(160+124)*'Saisie Bât neuf'!$C$15/100)</f>
        <v>140</v>
      </c>
      <c r="M33" s="51">
        <f>IF(160*'Saisie Bât neuf'!$C$16/100&lt;80,80,160*'Saisie Bât neuf'!$C$16/100)</f>
        <v>80</v>
      </c>
      <c r="N33" s="51">
        <f>IF((160+124)*'Saisie Bât neuf'!$C$16/100&lt;140,140,(160+124)*'Saisie Bât neuf'!$C$16/100)</f>
        <v>140</v>
      </c>
      <c r="O33" s="51">
        <f>IF(160*'Saisie Bât neuf'!$C$17/100&lt;80,80,160*'Saisie Bât neuf'!$C$17/100)</f>
        <v>80</v>
      </c>
      <c r="P33" s="51">
        <f>IF((160+124)*'Saisie Bât neuf'!$C$17/100&lt;140,140,(160+124)*'Saisie Bât neuf'!$C$17/100)</f>
        <v>140</v>
      </c>
      <c r="Q33" s="51">
        <f>IF(160*'Saisie Bât neuf'!$C$18/100&lt;80,80,160*'Saisie Bât neuf'!$C$18/100)</f>
        <v>80</v>
      </c>
      <c r="R33" s="51">
        <f>IF((160+124)*'Saisie Bât neuf'!$C$18/100&lt;140,140,(160+124)*'Saisie Bât neuf'!$C$18/100)</f>
        <v>140</v>
      </c>
      <c r="S33" s="52"/>
      <c r="T33" s="52"/>
      <c r="U33" s="52"/>
      <c r="X33" s="43" t="s">
        <v>225</v>
      </c>
      <c r="Y33" s="43">
        <f>IF(Y6&lt;5000,5,IF(AND(Y6&gt;4999,(Y6&lt;6000)),6,IF(AND(Y6&gt;5999,(Y6&lt;7000)),7,IF(AND(Y6&gt;6999,(Y6&lt;7000)),7,8))))</f>
        <v>5</v>
      </c>
      <c r="AK33" s="43" t="s">
        <v>226</v>
      </c>
      <c r="AN33" s="83"/>
      <c r="AQ33" s="44" t="s">
        <v>151</v>
      </c>
      <c r="AR33" s="44">
        <f>350+IF('Saisie Bât neuf'!K18+'Saisie Bât neuf'!L18&gt;1,80*('Saisie Bât neuf'!K18+'Saisie Bât neuf'!L18-1),0)</f>
        <v>350</v>
      </c>
      <c r="AS33" s="77">
        <f>IF('Saisie Bât neuf'!J18="éléctricité",'calculs Bât neuf'!$AS$6,IF('Saisie Bât neuf'!J18="gaz de ville",'calculs Bât neuf'!$AS19,'Référence&amp;tarifs'!$B$26))*AR33</f>
        <v>74.719101123595507</v>
      </c>
      <c r="BB33" s="43" t="s">
        <v>145</v>
      </c>
      <c r="BC33" s="85" t="e">
        <f>VLOOKUP('Saisie Bât neuf'!E15,'calculs Bât neuf'!$BB$21:$BN$29,5,0)</f>
        <v>#N/A</v>
      </c>
      <c r="BD33" s="85" t="e">
        <f>BC33/VLOOKUP('Saisie Bât neuf'!E15,'calculs Bât neuf'!$BB$21:$BN$29,2,0)</f>
        <v>#N/A</v>
      </c>
      <c r="BF33" s="43">
        <v>490</v>
      </c>
      <c r="BG33" s="43" t="s">
        <v>363</v>
      </c>
      <c r="BL33" s="43" t="s">
        <v>365</v>
      </c>
    </row>
    <row r="34" spans="1:64" x14ac:dyDescent="0.25">
      <c r="A34" s="44" t="s">
        <v>228</v>
      </c>
      <c r="B34" s="44">
        <v>70</v>
      </c>
      <c r="C34" s="44" t="s">
        <v>213</v>
      </c>
      <c r="D34" s="44">
        <f t="shared" si="0"/>
        <v>1.3</v>
      </c>
      <c r="E34" s="44">
        <f>IF('Saisie Bât neuf'!$C$4&gt;799,0.2,IF('Saisie Bât neuf'!$C$4&gt;399,0.1,0))</f>
        <v>0</v>
      </c>
      <c r="F34" s="44">
        <f>IF('Saisie Bât neuf'!$C$5="Non",50*(D34+E34),50*(D34+E34)+12)</f>
        <v>65</v>
      </c>
      <c r="G34" s="44">
        <v>-12</v>
      </c>
      <c r="H34" s="44">
        <f t="shared" si="3"/>
        <v>1</v>
      </c>
      <c r="I34" s="51">
        <f>IF(160*'Saisie Bât neuf'!$C$14/100&lt;80,80,160*'Saisie Bât neuf'!$C$14/100)</f>
        <v>80</v>
      </c>
      <c r="J34" s="51">
        <f>IF((160+124)*'Saisie Bât neuf'!$C$14/100&lt;140,140,(160+124)*'Saisie Bât neuf'!$C$14/100)</f>
        <v>142</v>
      </c>
      <c r="K34" s="51">
        <f>IF(160*'Saisie Bât neuf'!$C$15/100&lt;80,80,160*'Saisie Bât neuf'!$C$15/100)</f>
        <v>80</v>
      </c>
      <c r="L34" s="51">
        <f>IF((160+124)*'Saisie Bât neuf'!$C$15/100&lt;140,140,(160+124)*'Saisie Bât neuf'!$C$15/100)</f>
        <v>140</v>
      </c>
      <c r="M34" s="51">
        <f>IF(160*'Saisie Bât neuf'!$C$16/100&lt;80,80,160*'Saisie Bât neuf'!$C$16/100)</f>
        <v>80</v>
      </c>
      <c r="N34" s="51">
        <f>IF((160+124)*'Saisie Bât neuf'!$C$16/100&lt;140,140,(160+124)*'Saisie Bât neuf'!$C$16/100)</f>
        <v>140</v>
      </c>
      <c r="O34" s="51">
        <f>IF(160*'Saisie Bât neuf'!$C$17/100&lt;80,80,160*'Saisie Bât neuf'!$C$17/100)</f>
        <v>80</v>
      </c>
      <c r="P34" s="51">
        <f>IF((160+124)*'Saisie Bât neuf'!$C$17/100&lt;140,140,(160+124)*'Saisie Bât neuf'!$C$17/100)</f>
        <v>140</v>
      </c>
      <c r="Q34" s="51">
        <f>IF(160*'Saisie Bât neuf'!$C$18/100&lt;80,80,160*'Saisie Bât neuf'!$C$18/100)</f>
        <v>80</v>
      </c>
      <c r="R34" s="51">
        <f>IF((160+124)*'Saisie Bât neuf'!$C$18/100&lt;140,140,(160+124)*'Saisie Bât neuf'!$C$18/100)</f>
        <v>140</v>
      </c>
      <c r="S34" s="52"/>
      <c r="T34" s="52"/>
      <c r="U34" s="52"/>
      <c r="X34" s="43" t="s">
        <v>229</v>
      </c>
      <c r="Y34" s="84">
        <f>IF(Y6&lt;5000,7,IF(AND(Y6&gt;4999,(Y6&lt;6000)),9,IF(AND(Y6&gt;5999,(Y6&lt;7000)),11,IF(AND(Y6&gt;6999,(Y6&lt;7000)),12,13))))</f>
        <v>7</v>
      </c>
      <c r="Z34" s="84"/>
      <c r="AA34" s="84"/>
      <c r="AC34" s="84"/>
      <c r="AD34" s="84"/>
      <c r="AE34" s="84"/>
      <c r="AN34" s="83"/>
      <c r="BB34" s="43" t="s">
        <v>149</v>
      </c>
      <c r="BC34" s="85" t="e">
        <f>VLOOKUP('Saisie Bât neuf'!E16,'calculs Bât neuf'!$BB$21:$BN$29,7,0)</f>
        <v>#N/A</v>
      </c>
      <c r="BD34" s="85" t="e">
        <f>BC34/VLOOKUP('Saisie Bât neuf'!E16,'calculs Bât neuf'!$BB$21:$BN$29,2,0)</f>
        <v>#N/A</v>
      </c>
      <c r="BF34" s="43">
        <v>280</v>
      </c>
      <c r="BG34" s="43" t="s">
        <v>364</v>
      </c>
    </row>
    <row r="35" spans="1:64" x14ac:dyDescent="0.25">
      <c r="A35" s="44" t="s">
        <v>232</v>
      </c>
      <c r="B35" s="44">
        <v>69</v>
      </c>
      <c r="C35" s="44" t="s">
        <v>153</v>
      </c>
      <c r="D35" s="44">
        <f t="shared" si="0"/>
        <v>1.2</v>
      </c>
      <c r="E35" s="44">
        <f>IF('Saisie Bât neuf'!$C$4&gt;799,0.2,IF('Saisie Bât neuf'!$C$4&gt;399,0.1,0))</f>
        <v>0</v>
      </c>
      <c r="F35" s="44">
        <f>IF('Saisie Bât neuf'!$C$5="Non",50*(D35+E35),50*(D35+E35)+12)</f>
        <v>60</v>
      </c>
      <c r="G35" s="44">
        <v>-10</v>
      </c>
      <c r="H35" s="44">
        <f t="shared" si="3"/>
        <v>1</v>
      </c>
      <c r="I35" s="51">
        <f>IF(160*'Saisie Bât neuf'!$C$14/100&lt;80,80,160*'Saisie Bât neuf'!$C$14/100)</f>
        <v>80</v>
      </c>
      <c r="J35" s="51">
        <f>IF((160+124)*'Saisie Bât neuf'!$C$14/100&lt;140,140,(160+124)*'Saisie Bât neuf'!$C$14/100)</f>
        <v>142</v>
      </c>
      <c r="K35" s="51">
        <f>IF(160*'Saisie Bât neuf'!$C$15/100&lt;80,80,160*'Saisie Bât neuf'!$C$15/100)</f>
        <v>80</v>
      </c>
      <c r="L35" s="51">
        <f>IF((160+124)*'Saisie Bât neuf'!$C$15/100&lt;140,140,(160+124)*'Saisie Bât neuf'!$C$15/100)</f>
        <v>140</v>
      </c>
      <c r="M35" s="51">
        <f>IF(160*'Saisie Bât neuf'!$C$16/100&lt;80,80,160*'Saisie Bât neuf'!$C$16/100)</f>
        <v>80</v>
      </c>
      <c r="N35" s="51">
        <f>IF((160+124)*'Saisie Bât neuf'!$C$16/100&lt;140,140,(160+124)*'Saisie Bât neuf'!$C$16/100)</f>
        <v>140</v>
      </c>
      <c r="O35" s="51">
        <f>IF(160*'Saisie Bât neuf'!$C$17/100&lt;80,80,160*'Saisie Bât neuf'!$C$17/100)</f>
        <v>80</v>
      </c>
      <c r="P35" s="51">
        <f>IF((160+124)*'Saisie Bât neuf'!$C$17/100&lt;140,140,(160+124)*'Saisie Bât neuf'!$C$17/100)</f>
        <v>140</v>
      </c>
      <c r="Q35" s="51">
        <f>IF(160*'Saisie Bât neuf'!$C$18/100&lt;80,80,160*'Saisie Bât neuf'!$C$18/100)</f>
        <v>80</v>
      </c>
      <c r="R35" s="51">
        <f>IF((160+124)*'Saisie Bât neuf'!$C$18/100&lt;140,140,(160+124)*'Saisie Bât neuf'!$C$18/100)</f>
        <v>140</v>
      </c>
      <c r="S35" s="52"/>
      <c r="T35" s="52"/>
      <c r="U35" s="52"/>
      <c r="Y35" s="84"/>
      <c r="Z35" s="84"/>
      <c r="AA35" s="84"/>
      <c r="AC35" s="84"/>
      <c r="AD35" s="84"/>
      <c r="AE35" s="84"/>
      <c r="AN35" s="83"/>
      <c r="AT35" s="44" t="s">
        <v>140</v>
      </c>
      <c r="AU35" s="44" t="s">
        <v>145</v>
      </c>
      <c r="AV35" s="44" t="s">
        <v>149</v>
      </c>
      <c r="AW35" s="44" t="s">
        <v>150</v>
      </c>
      <c r="AX35" s="44" t="s">
        <v>151</v>
      </c>
      <c r="BB35" s="43" t="s">
        <v>150</v>
      </c>
      <c r="BC35" s="85" t="e">
        <f>VLOOKUP('Saisie Bât neuf'!E17,'calculs Bât neuf'!BB21:BN29,9,0)</f>
        <v>#N/A</v>
      </c>
      <c r="BD35" s="85" t="e">
        <f>BC35/VLOOKUP('Saisie Bât neuf'!E17,'calculs Bât neuf'!$BB$21:$BN$29,2,0)</f>
        <v>#N/A</v>
      </c>
    </row>
    <row r="36" spans="1:64" x14ac:dyDescent="0.25">
      <c r="A36" s="44" t="s">
        <v>233</v>
      </c>
      <c r="B36" s="44">
        <v>71</v>
      </c>
      <c r="C36" s="44" t="s">
        <v>153</v>
      </c>
      <c r="D36" s="44">
        <f t="shared" si="0"/>
        <v>1.2</v>
      </c>
      <c r="E36" s="44">
        <f>IF('Saisie Bât neuf'!$C$4&gt;799,0.2,IF('Saisie Bât neuf'!$C$4&gt;399,0.1,0))</f>
        <v>0</v>
      </c>
      <c r="F36" s="44">
        <f>IF('Saisie Bât neuf'!$C$5="Non",50*(D36+E36),50*(D36+E36)+12)</f>
        <v>60</v>
      </c>
      <c r="G36" s="44">
        <v>-10</v>
      </c>
      <c r="H36" s="44">
        <f t="shared" si="3"/>
        <v>1</v>
      </c>
      <c r="I36" s="51">
        <f>IF(160*'Saisie Bât neuf'!$C$14/100&lt;80,80,160*'Saisie Bât neuf'!$C$14/100)</f>
        <v>80</v>
      </c>
      <c r="J36" s="51">
        <f>IF((160+124)*'Saisie Bât neuf'!$C$14/100&lt;140,140,(160+124)*'Saisie Bât neuf'!$C$14/100)</f>
        <v>142</v>
      </c>
      <c r="K36" s="51">
        <f>IF(160*'Saisie Bât neuf'!$C$15/100&lt;80,80,160*'Saisie Bât neuf'!$C$15/100)</f>
        <v>80</v>
      </c>
      <c r="L36" s="51">
        <f>IF((160+124)*'Saisie Bât neuf'!$C$15/100&lt;140,140,(160+124)*'Saisie Bât neuf'!$C$15/100)</f>
        <v>140</v>
      </c>
      <c r="M36" s="51">
        <f>IF(160*'Saisie Bât neuf'!$C$16/100&lt;80,80,160*'Saisie Bât neuf'!$C$16/100)</f>
        <v>80</v>
      </c>
      <c r="N36" s="51">
        <f>IF((160+124)*'Saisie Bât neuf'!$C$16/100&lt;140,140,(160+124)*'Saisie Bât neuf'!$C$16/100)</f>
        <v>140</v>
      </c>
      <c r="O36" s="51">
        <f>IF(160*'Saisie Bât neuf'!$C$17/100&lt;80,80,160*'Saisie Bât neuf'!$C$17/100)</f>
        <v>80</v>
      </c>
      <c r="P36" s="51">
        <f>IF((160+124)*'Saisie Bât neuf'!$C$17/100&lt;140,140,(160+124)*'Saisie Bât neuf'!$C$17/100)</f>
        <v>140</v>
      </c>
      <c r="Q36" s="51">
        <f>IF(160*'Saisie Bât neuf'!$C$18/100&lt;80,80,160*'Saisie Bât neuf'!$C$18/100)</f>
        <v>80</v>
      </c>
      <c r="R36" s="51">
        <f>IF((160+124)*'Saisie Bât neuf'!$C$18/100&lt;140,140,(160+124)*'Saisie Bât neuf'!$C$18/100)</f>
        <v>140</v>
      </c>
      <c r="S36" s="52"/>
      <c r="T36" s="52"/>
      <c r="U36" s="52"/>
      <c r="AR36" s="44" t="s">
        <v>234</v>
      </c>
      <c r="AS36" s="86" t="s">
        <v>235</v>
      </c>
      <c r="AT36" s="215" t="s">
        <v>185</v>
      </c>
      <c r="AU36" s="215"/>
      <c r="AV36" s="215"/>
      <c r="AW36" s="215"/>
      <c r="AX36" s="215"/>
      <c r="BB36" s="43" t="s">
        <v>151</v>
      </c>
      <c r="BC36" s="85" t="e">
        <f>VLOOKUP('Saisie Bât neuf'!E18,'calculs Bât neuf'!BB21:BN29,11,0)</f>
        <v>#N/A</v>
      </c>
      <c r="BD36" s="85" t="e">
        <f>BC36/VLOOKUP('Saisie Bât neuf'!E18,'calculs Bât neuf'!$BB$21:$BN$29,2,0)</f>
        <v>#N/A</v>
      </c>
    </row>
    <row r="37" spans="1:64" x14ac:dyDescent="0.25">
      <c r="A37" s="44" t="s">
        <v>236</v>
      </c>
      <c r="B37" s="44">
        <v>13</v>
      </c>
      <c r="C37" s="44" t="s">
        <v>237</v>
      </c>
      <c r="D37" s="44">
        <f t="shared" si="0"/>
        <v>0.8</v>
      </c>
      <c r="E37" s="44">
        <f>IF('Saisie Bât neuf'!$C$4&gt;799,0.2,IF('Saisie Bât neuf'!$C$4&gt;399,0.1,0))</f>
        <v>0</v>
      </c>
      <c r="F37" s="44">
        <f>IF('Saisie Bât neuf'!$C$5="Non",50*(D37+E37),50*(D37+E37)+12)</f>
        <v>40</v>
      </c>
      <c r="G37" s="44">
        <v>-5</v>
      </c>
      <c r="H37" s="44">
        <f t="shared" si="3"/>
        <v>4</v>
      </c>
      <c r="I37" s="51">
        <f>IF(160*'Saisie Bât neuf'!$C$14/100&lt;80,80,160*'Saisie Bât neuf'!$C$14/100)</f>
        <v>80</v>
      </c>
      <c r="J37" s="51">
        <f>IF((160+124)*'Saisie Bât neuf'!$C$14/100&lt;140,140,(160+124)*'Saisie Bât neuf'!$C$14/100)</f>
        <v>142</v>
      </c>
      <c r="K37" s="51">
        <f>IF(160*'Saisie Bât neuf'!$C$15/100&lt;80,80,160*'Saisie Bât neuf'!$C$15/100)</f>
        <v>80</v>
      </c>
      <c r="L37" s="51">
        <f>IF((160+124)*'Saisie Bât neuf'!$C$15/100&lt;140,140,(160+124)*'Saisie Bât neuf'!$C$15/100)</f>
        <v>140</v>
      </c>
      <c r="M37" s="51">
        <f>IF(160*'Saisie Bât neuf'!$C$16/100&lt;80,80,160*'Saisie Bât neuf'!$C$16/100)</f>
        <v>80</v>
      </c>
      <c r="N37" s="51">
        <f>IF((160+124)*'Saisie Bât neuf'!$C$16/100&lt;140,140,(160+124)*'Saisie Bât neuf'!$C$16/100)</f>
        <v>140</v>
      </c>
      <c r="O37" s="51">
        <f>IF(160*'Saisie Bât neuf'!$C$17/100&lt;80,80,160*'Saisie Bât neuf'!$C$17/100)</f>
        <v>80</v>
      </c>
      <c r="P37" s="51">
        <f>IF((160+124)*'Saisie Bât neuf'!$C$17/100&lt;140,140,(160+124)*'Saisie Bât neuf'!$C$17/100)</f>
        <v>140</v>
      </c>
      <c r="Q37" s="51">
        <f>IF(160*'Saisie Bât neuf'!$C$18/100&lt;80,80,160*'Saisie Bât neuf'!$C$18/100)</f>
        <v>80</v>
      </c>
      <c r="R37" s="51">
        <f>IF((160+124)*'Saisie Bât neuf'!$C$18/100&lt;140,140,(160+124)*'Saisie Bât neuf'!$C$18/100)</f>
        <v>140</v>
      </c>
      <c r="S37" s="52"/>
      <c r="T37" s="52"/>
      <c r="U37" s="52"/>
      <c r="X37" s="43" t="s">
        <v>42</v>
      </c>
      <c r="AR37" s="44" t="s">
        <v>40</v>
      </c>
      <c r="AS37" s="44">
        <v>0.8</v>
      </c>
      <c r="AT37" s="44">
        <f>'Référence&amp;tarifs'!$B$23</f>
        <v>4.9000000000000002E-2</v>
      </c>
      <c r="AU37" s="44">
        <f>'Référence&amp;tarifs'!$B$23</f>
        <v>4.9000000000000002E-2</v>
      </c>
      <c r="AV37" s="44">
        <f>'Référence&amp;tarifs'!$B$23</f>
        <v>4.9000000000000002E-2</v>
      </c>
      <c r="AW37" s="44">
        <f>'Référence&amp;tarifs'!B23</f>
        <v>4.9000000000000002E-2</v>
      </c>
      <c r="AX37" s="44">
        <f>'Référence&amp;tarifs'!B23</f>
        <v>4.9000000000000002E-2</v>
      </c>
      <c r="AY37" s="44" t="s">
        <v>238</v>
      </c>
    </row>
    <row r="38" spans="1:64" x14ac:dyDescent="0.25">
      <c r="A38" s="44" t="s">
        <v>239</v>
      </c>
      <c r="B38" s="44">
        <v>57</v>
      </c>
      <c r="C38" s="44" t="s">
        <v>213</v>
      </c>
      <c r="D38" s="44">
        <f t="shared" ref="D38:D67" si="5">IF(C38="H1a",1.3,IF(C38="H1b",1.3,IF(C38="H1c",1.2,IF(C38="H2a",1.1,IF(C38="H2b",1,IF(C38="H2c",0.9,IF(C38="H2d",0.9,IF(C38="H3",0.8,0))))))))</f>
        <v>1.3</v>
      </c>
      <c r="E38" s="44">
        <f>IF('Saisie Bât neuf'!$C$4&gt;799,0.2,IF('Saisie Bât neuf'!$C$4&gt;399,0.1,0))</f>
        <v>0</v>
      </c>
      <c r="F38" s="44">
        <f>IF('Saisie Bât neuf'!$C$5="Non",50*(D38+E38),50*(D38+E38)+12)</f>
        <v>65</v>
      </c>
      <c r="G38" s="44">
        <v>-15</v>
      </c>
      <c r="H38" s="44">
        <f t="shared" si="3"/>
        <v>1</v>
      </c>
      <c r="I38" s="51">
        <f>IF(160*'Saisie Bât neuf'!$C$14/100&lt;80,80,160*'Saisie Bât neuf'!$C$14/100)</f>
        <v>80</v>
      </c>
      <c r="J38" s="51">
        <f>IF((160+124)*'Saisie Bât neuf'!$C$14/100&lt;140,140,(160+124)*'Saisie Bât neuf'!$C$14/100)</f>
        <v>142</v>
      </c>
      <c r="K38" s="51">
        <f>IF(160*'Saisie Bât neuf'!$C$15/100&lt;80,80,160*'Saisie Bât neuf'!$C$15/100)</f>
        <v>80</v>
      </c>
      <c r="L38" s="51">
        <f>IF((160+124)*'Saisie Bât neuf'!$C$15/100&lt;140,140,(160+124)*'Saisie Bât neuf'!$C$15/100)</f>
        <v>140</v>
      </c>
      <c r="M38" s="51">
        <f>IF(160*'Saisie Bât neuf'!$C$16/100&lt;80,80,160*'Saisie Bât neuf'!$C$16/100)</f>
        <v>80</v>
      </c>
      <c r="N38" s="51">
        <f>IF((160+124)*'Saisie Bât neuf'!$C$16/100&lt;140,140,(160+124)*'Saisie Bât neuf'!$C$16/100)</f>
        <v>140</v>
      </c>
      <c r="O38" s="51">
        <f>IF(160*'Saisie Bât neuf'!$C$17/100&lt;80,80,160*'Saisie Bât neuf'!$C$17/100)</f>
        <v>80</v>
      </c>
      <c r="P38" s="51">
        <f>IF((160+124)*'Saisie Bât neuf'!$C$17/100&lt;140,140,(160+124)*'Saisie Bât neuf'!$C$17/100)</f>
        <v>140</v>
      </c>
      <c r="Q38" s="51">
        <f>IF(160*'Saisie Bât neuf'!$C$18/100&lt;80,80,160*'Saisie Bât neuf'!$C$18/100)</f>
        <v>80</v>
      </c>
      <c r="R38" s="51">
        <f>IF((160+124)*'Saisie Bât neuf'!$C$18/100&lt;140,140,(160+124)*'Saisie Bât neuf'!$C$18/100)</f>
        <v>140</v>
      </c>
      <c r="S38" s="52"/>
      <c r="T38" s="52"/>
      <c r="U38" s="52"/>
      <c r="X38" s="43" t="s">
        <v>36</v>
      </c>
      <c r="AR38" s="44" t="s">
        <v>240</v>
      </c>
      <c r="AS38" s="44">
        <v>0.85</v>
      </c>
      <c r="AT38" s="44">
        <f>'Référence&amp;tarifs'!$B$24</f>
        <v>9.1999999999999998E-2</v>
      </c>
      <c r="AU38" s="44">
        <f>'Référence&amp;tarifs'!$B$24</f>
        <v>9.1999999999999998E-2</v>
      </c>
      <c r="AV38" s="44">
        <f>'Référence&amp;tarifs'!$B$24</f>
        <v>9.1999999999999998E-2</v>
      </c>
      <c r="AW38" s="44">
        <f>'Référence&amp;tarifs'!$B$24</f>
        <v>9.1999999999999998E-2</v>
      </c>
      <c r="AX38" s="44">
        <f>'Référence&amp;tarifs'!$B$24</f>
        <v>9.1999999999999998E-2</v>
      </c>
      <c r="AY38" s="44" t="s">
        <v>238</v>
      </c>
    </row>
    <row r="39" spans="1:64" x14ac:dyDescent="0.25">
      <c r="A39" s="44" t="s">
        <v>241</v>
      </c>
      <c r="B39" s="44">
        <v>12</v>
      </c>
      <c r="C39" s="44" t="s">
        <v>142</v>
      </c>
      <c r="D39" s="44">
        <f t="shared" si="5"/>
        <v>0.9</v>
      </c>
      <c r="E39" s="44">
        <f>IF('Saisie Bât neuf'!$C$4&gt;799,0.2,IF('Saisie Bât neuf'!$C$4&gt;399,0.1,0))</f>
        <v>0</v>
      </c>
      <c r="F39" s="44">
        <f>IF('Saisie Bât neuf'!$C$5="Non",50*(D39+E39),50*(D39+E39)+12)</f>
        <v>45</v>
      </c>
      <c r="G39" s="44">
        <v>-7</v>
      </c>
      <c r="H39" s="44">
        <f t="shared" si="3"/>
        <v>2</v>
      </c>
      <c r="I39" s="51">
        <f>IF(160*'Saisie Bât neuf'!$C$14/100&lt;80,80,160*'Saisie Bât neuf'!$C$14/100)</f>
        <v>80</v>
      </c>
      <c r="J39" s="51">
        <f>IF((160+124)*'Saisie Bât neuf'!$C$14/100&lt;140,140,(160+124)*'Saisie Bât neuf'!$C$14/100)</f>
        <v>142</v>
      </c>
      <c r="K39" s="51">
        <f>IF(160*'Saisie Bât neuf'!$C$15/100&lt;80,80,160*'Saisie Bât neuf'!$C$15/100)</f>
        <v>80</v>
      </c>
      <c r="L39" s="51">
        <f>IF((160+124)*'Saisie Bât neuf'!$C$15/100&lt;140,140,(160+124)*'Saisie Bât neuf'!$C$15/100)</f>
        <v>140</v>
      </c>
      <c r="M39" s="51">
        <f>IF(160*'Saisie Bât neuf'!$C$16/100&lt;80,80,160*'Saisie Bât neuf'!$C$16/100)</f>
        <v>80</v>
      </c>
      <c r="N39" s="51">
        <f>IF((160+124)*'Saisie Bât neuf'!$C$16/100&lt;140,140,(160+124)*'Saisie Bât neuf'!$C$16/100)</f>
        <v>140</v>
      </c>
      <c r="O39" s="51">
        <f>IF(160*'Saisie Bât neuf'!$C$17/100&lt;80,80,160*'Saisie Bât neuf'!$C$17/100)</f>
        <v>80</v>
      </c>
      <c r="P39" s="51">
        <f>IF((160+124)*'Saisie Bât neuf'!$C$17/100&lt;140,140,(160+124)*'Saisie Bât neuf'!$C$17/100)</f>
        <v>140</v>
      </c>
      <c r="Q39" s="51">
        <f>IF(160*'Saisie Bât neuf'!$C$18/100&lt;80,80,160*'Saisie Bât neuf'!$C$18/100)</f>
        <v>80</v>
      </c>
      <c r="R39" s="51">
        <f>IF((160+124)*'Saisie Bât neuf'!$C$18/100&lt;140,140,(160+124)*'Saisie Bât neuf'!$C$18/100)</f>
        <v>140</v>
      </c>
      <c r="S39" s="52"/>
      <c r="T39" s="52"/>
      <c r="U39" s="52"/>
      <c r="AR39" s="44" t="s">
        <v>34</v>
      </c>
      <c r="AS39" s="44">
        <v>0.9</v>
      </c>
      <c r="AT39" s="44">
        <f>AS15</f>
        <v>0.12839999999999999</v>
      </c>
      <c r="AU39" s="44" t="e">
        <f>AS16</f>
        <v>#N/A</v>
      </c>
      <c r="AV39" s="44" t="e">
        <f>AS17</f>
        <v>#N/A</v>
      </c>
      <c r="AW39" s="44" t="e">
        <f>AS18</f>
        <v>#N/A</v>
      </c>
      <c r="AX39" s="44" t="e">
        <f>AS19</f>
        <v>#N/A</v>
      </c>
      <c r="AY39" s="44" t="s">
        <v>211</v>
      </c>
    </row>
    <row r="40" spans="1:64" x14ac:dyDescent="0.25">
      <c r="A40" s="44" t="s">
        <v>242</v>
      </c>
      <c r="B40" s="44">
        <v>40</v>
      </c>
      <c r="C40" s="44" t="s">
        <v>142</v>
      </c>
      <c r="D40" s="44">
        <f t="shared" si="5"/>
        <v>0.9</v>
      </c>
      <c r="E40" s="44">
        <f>IF('Saisie Bât neuf'!$C$4&gt;799,0.2,IF('Saisie Bât neuf'!$C$4&gt;399,0.1,0))</f>
        <v>0</v>
      </c>
      <c r="F40" s="44">
        <f>IF('Saisie Bât neuf'!$C$5="Non",50*(D40+E40),50*(D40+E40)+12)</f>
        <v>45</v>
      </c>
      <c r="G40" s="44">
        <v>-4</v>
      </c>
      <c r="H40" s="44">
        <f t="shared" si="3"/>
        <v>2</v>
      </c>
      <c r="I40" s="51">
        <f>IF(160*'Saisie Bât neuf'!$C$14/100&lt;80,80,160*'Saisie Bât neuf'!$C$14/100)</f>
        <v>80</v>
      </c>
      <c r="J40" s="51">
        <f>IF((160+124)*'Saisie Bât neuf'!$C$14/100&lt;140,140,(160+124)*'Saisie Bât neuf'!$C$14/100)</f>
        <v>142</v>
      </c>
      <c r="K40" s="51">
        <f>IF(160*'Saisie Bât neuf'!$C$15/100&lt;80,80,160*'Saisie Bât neuf'!$C$15/100)</f>
        <v>80</v>
      </c>
      <c r="L40" s="51">
        <f>IF((160+124)*'Saisie Bât neuf'!$C$15/100&lt;140,140,(160+124)*'Saisie Bât neuf'!$C$15/100)</f>
        <v>140</v>
      </c>
      <c r="M40" s="51">
        <f>IF(160*'Saisie Bât neuf'!$C$16/100&lt;80,80,160*'Saisie Bât neuf'!$C$16/100)</f>
        <v>80</v>
      </c>
      <c r="N40" s="51">
        <f>IF((160+124)*'Saisie Bât neuf'!$C$16/100&lt;140,140,(160+124)*'Saisie Bât neuf'!$C$16/100)</f>
        <v>140</v>
      </c>
      <c r="O40" s="51">
        <f>IF(160*'Saisie Bât neuf'!$C$17/100&lt;80,80,160*'Saisie Bât neuf'!$C$17/100)</f>
        <v>80</v>
      </c>
      <c r="P40" s="51">
        <f>IF((160+124)*'Saisie Bât neuf'!$C$17/100&lt;140,140,(160+124)*'Saisie Bât neuf'!$C$17/100)</f>
        <v>140</v>
      </c>
      <c r="Q40" s="51">
        <f>IF(160*'Saisie Bât neuf'!$C$18/100&lt;80,80,160*'Saisie Bât neuf'!$C$18/100)</f>
        <v>80</v>
      </c>
      <c r="R40" s="51">
        <f>IF((160+124)*'Saisie Bât neuf'!$C$18/100&lt;140,140,(160+124)*'Saisie Bât neuf'!$C$18/100)</f>
        <v>140</v>
      </c>
      <c r="S40" s="52"/>
      <c r="T40" s="52"/>
      <c r="U40" s="52"/>
      <c r="X40" s="43" t="s">
        <v>243</v>
      </c>
      <c r="AR40" s="69" t="s">
        <v>247</v>
      </c>
      <c r="AS40" s="44">
        <v>0.8</v>
      </c>
      <c r="AT40" s="87">
        <f>0.8*AT$37+0.2*AS6</f>
        <v>8.9520000000000016E-2</v>
      </c>
      <c r="AU40" s="87" t="e">
        <f>0.8*AT$37+0.2*AS7</f>
        <v>#N/A</v>
      </c>
      <c r="AV40" s="87" t="e">
        <f>0.8*AT$37+0.2*AS8</f>
        <v>#N/A</v>
      </c>
      <c r="AW40" s="87" t="e">
        <f>0.8*$AT$37+0.2*AS9</f>
        <v>#N/A</v>
      </c>
      <c r="AX40" s="44" t="e">
        <f>0.8*$AT$37+0.2*AS10</f>
        <v>#N/A</v>
      </c>
      <c r="AY40" s="44" t="s">
        <v>193</v>
      </c>
    </row>
    <row r="41" spans="1:64" x14ac:dyDescent="0.25">
      <c r="A41" s="44" t="s">
        <v>244</v>
      </c>
      <c r="B41" s="44">
        <v>26</v>
      </c>
      <c r="C41" s="44" t="s">
        <v>245</v>
      </c>
      <c r="D41" s="44">
        <f t="shared" si="5"/>
        <v>0.9</v>
      </c>
      <c r="E41" s="44">
        <f>IF('Saisie Bât neuf'!$C$4&gt;799,0.2,IF('Saisie Bât neuf'!$C$4&gt;399,0.1,0))</f>
        <v>0</v>
      </c>
      <c r="F41" s="44">
        <f>IF('Saisie Bât neuf'!$C$5="Non",50*(D41+E41),50*(D41+E41)+12)</f>
        <v>45</v>
      </c>
      <c r="G41" s="44">
        <v>-7</v>
      </c>
      <c r="H41" s="44">
        <f t="shared" si="3"/>
        <v>2</v>
      </c>
      <c r="I41" s="51">
        <f>IF(160*'Saisie Bât neuf'!$C$14/100&lt;80,80,160*'Saisie Bât neuf'!$C$14/100)</f>
        <v>80</v>
      </c>
      <c r="J41" s="51">
        <f>IF((160+124)*'Saisie Bât neuf'!$C$14/100&lt;140,140,(160+124)*'Saisie Bât neuf'!$C$14/100)</f>
        <v>142</v>
      </c>
      <c r="K41" s="51">
        <f>IF(160*'Saisie Bât neuf'!$C$15/100&lt;80,80,160*'Saisie Bât neuf'!$C$15/100)</f>
        <v>80</v>
      </c>
      <c r="L41" s="51">
        <f>IF((160+124)*'Saisie Bât neuf'!$C$15/100&lt;140,140,(160+124)*'Saisie Bât neuf'!$C$15/100)</f>
        <v>140</v>
      </c>
      <c r="M41" s="51">
        <f>IF(160*'Saisie Bât neuf'!$C$16/100&lt;80,80,160*'Saisie Bât neuf'!$C$16/100)</f>
        <v>80</v>
      </c>
      <c r="N41" s="51">
        <f>IF((160+124)*'Saisie Bât neuf'!$C$16/100&lt;140,140,(160+124)*'Saisie Bât neuf'!$C$16/100)</f>
        <v>140</v>
      </c>
      <c r="O41" s="51">
        <f>IF(160*'Saisie Bât neuf'!$C$17/100&lt;80,80,160*'Saisie Bât neuf'!$C$17/100)</f>
        <v>80</v>
      </c>
      <c r="P41" s="51">
        <f>IF((160+124)*'Saisie Bât neuf'!$C$17/100&lt;140,140,(160+124)*'Saisie Bât neuf'!$C$17/100)</f>
        <v>140</v>
      </c>
      <c r="Q41" s="51">
        <f>IF(160*'Saisie Bât neuf'!$C$18/100&lt;80,80,160*'Saisie Bât neuf'!$C$18/100)</f>
        <v>80</v>
      </c>
      <c r="R41" s="51">
        <f>IF((160+124)*'Saisie Bât neuf'!$C$18/100&lt;140,140,(160+124)*'Saisie Bât neuf'!$C$18/100)</f>
        <v>140</v>
      </c>
      <c r="S41" s="52"/>
      <c r="T41" s="52"/>
      <c r="U41" s="52"/>
      <c r="X41" s="43" t="s">
        <v>246</v>
      </c>
      <c r="AR41" s="44" t="s">
        <v>249</v>
      </c>
      <c r="AS41" s="44">
        <v>1.69</v>
      </c>
      <c r="AT41" s="44">
        <f>AS6</f>
        <v>0.25159999999999999</v>
      </c>
      <c r="AU41" s="44" t="e">
        <f>$AS$7</f>
        <v>#N/A</v>
      </c>
      <c r="AV41" s="44" t="e">
        <f>$AS$8</f>
        <v>#N/A</v>
      </c>
      <c r="AW41" s="44" t="e">
        <f>$AS$9</f>
        <v>#N/A</v>
      </c>
      <c r="AX41" s="44" t="e">
        <f>$AS$10</f>
        <v>#N/A</v>
      </c>
      <c r="AY41" s="44" t="s">
        <v>193</v>
      </c>
    </row>
    <row r="42" spans="1:64" x14ac:dyDescent="0.25">
      <c r="A42" s="44" t="s">
        <v>248</v>
      </c>
      <c r="B42" s="44">
        <v>34</v>
      </c>
      <c r="C42" s="44" t="s">
        <v>237</v>
      </c>
      <c r="D42" s="44">
        <f t="shared" si="5"/>
        <v>0.8</v>
      </c>
      <c r="E42" s="44">
        <f>IF('Saisie Bât neuf'!$C$4&gt;799,0.2,IF('Saisie Bât neuf'!$C$4&gt;399,0.1,0))</f>
        <v>0</v>
      </c>
      <c r="F42" s="44">
        <f>IF('Saisie Bât neuf'!$C$5="Non",50*(D42+E42),50*(D42+E42)+12)</f>
        <v>40</v>
      </c>
      <c r="G42" s="44">
        <v>-5</v>
      </c>
      <c r="H42" s="44">
        <f t="shared" si="3"/>
        <v>4</v>
      </c>
      <c r="I42" s="51">
        <f>IF(160*'Saisie Bât neuf'!$C$14/100&lt;80,80,160*'Saisie Bât neuf'!$C$14/100)</f>
        <v>80</v>
      </c>
      <c r="J42" s="51">
        <f>IF((160+124)*'Saisie Bât neuf'!$C$14/100&lt;140,140,(160+124)*'Saisie Bât neuf'!$C$14/100)</f>
        <v>142</v>
      </c>
      <c r="K42" s="51">
        <f>IF(160*'Saisie Bât neuf'!$C$15/100&lt;80,80,160*'Saisie Bât neuf'!$C$15/100)</f>
        <v>80</v>
      </c>
      <c r="L42" s="51">
        <f>IF((160+124)*'Saisie Bât neuf'!$C$15/100&lt;140,140,(160+124)*'Saisie Bât neuf'!$C$15/100)</f>
        <v>140</v>
      </c>
      <c r="M42" s="51">
        <f>IF(160*'Saisie Bât neuf'!$C$16/100&lt;80,80,160*'Saisie Bât neuf'!$C$16/100)</f>
        <v>80</v>
      </c>
      <c r="N42" s="51">
        <f>IF((160+124)*'Saisie Bât neuf'!$C$16/100&lt;140,140,(160+124)*'Saisie Bât neuf'!$C$16/100)</f>
        <v>140</v>
      </c>
      <c r="O42" s="51">
        <f>IF(160*'Saisie Bât neuf'!$C$17/100&lt;80,80,160*'Saisie Bât neuf'!$C$17/100)</f>
        <v>80</v>
      </c>
      <c r="P42" s="51">
        <f>IF((160+124)*'Saisie Bât neuf'!$C$17/100&lt;140,140,(160+124)*'Saisie Bât neuf'!$C$17/100)</f>
        <v>140</v>
      </c>
      <c r="Q42" s="51">
        <f>IF(160*'Saisie Bât neuf'!$C$18/100&lt;80,80,160*'Saisie Bât neuf'!$C$18/100)</f>
        <v>80</v>
      </c>
      <c r="R42" s="51">
        <f>IF((160+124)*'Saisie Bât neuf'!$C$18/100&lt;140,140,(160+124)*'Saisie Bât neuf'!$C$18/100)</f>
        <v>140</v>
      </c>
      <c r="S42" s="52"/>
      <c r="T42" s="52"/>
      <c r="U42" s="52"/>
      <c r="X42" s="43" t="s">
        <v>37</v>
      </c>
      <c r="AR42" s="44" t="s">
        <v>251</v>
      </c>
      <c r="AS42" s="44">
        <v>2.2000000000000002</v>
      </c>
      <c r="AT42" s="44">
        <f>AS6</f>
        <v>0.25159999999999999</v>
      </c>
      <c r="AU42" s="44" t="e">
        <f>$AS$7</f>
        <v>#N/A</v>
      </c>
      <c r="AV42" s="44" t="e">
        <f>$AS$8</f>
        <v>#N/A</v>
      </c>
      <c r="AW42" s="44" t="e">
        <f>$AS$9</f>
        <v>#N/A</v>
      </c>
      <c r="AX42" s="44" t="e">
        <f>$AS$10</f>
        <v>#N/A</v>
      </c>
      <c r="AY42" s="44" t="s">
        <v>193</v>
      </c>
    </row>
    <row r="43" spans="1:64" x14ac:dyDescent="0.25">
      <c r="A43" s="44" t="s">
        <v>250</v>
      </c>
      <c r="B43" s="44">
        <v>68</v>
      </c>
      <c r="C43" s="44" t="s">
        <v>213</v>
      </c>
      <c r="D43" s="44">
        <f t="shared" si="5"/>
        <v>1.3</v>
      </c>
      <c r="E43" s="44">
        <f>IF('Saisie Bât neuf'!$C$4&gt;799,0.2,IF('Saisie Bât neuf'!$C$4&gt;399,0.1,0))</f>
        <v>0</v>
      </c>
      <c r="F43" s="44">
        <f>IF('Saisie Bât neuf'!$C$5="Non",50*(D43+E43),50*(D43+E43)+12)</f>
        <v>65</v>
      </c>
      <c r="G43" s="44">
        <v>-15</v>
      </c>
      <c r="H43" s="44">
        <f t="shared" si="3"/>
        <v>1</v>
      </c>
      <c r="I43" s="51">
        <f>IF(160*'Saisie Bât neuf'!$C$14/100&lt;80,80,160*'Saisie Bât neuf'!$C$14/100)</f>
        <v>80</v>
      </c>
      <c r="J43" s="51">
        <f>IF((160+124)*'Saisie Bât neuf'!$C$14/100&lt;140,140,(160+124)*'Saisie Bât neuf'!$C$14/100)</f>
        <v>142</v>
      </c>
      <c r="K43" s="51">
        <f>IF(160*'Saisie Bât neuf'!$C$15/100&lt;80,80,160*'Saisie Bât neuf'!$C$15/100)</f>
        <v>80</v>
      </c>
      <c r="L43" s="51">
        <f>IF((160+124)*'Saisie Bât neuf'!$C$15/100&lt;140,140,(160+124)*'Saisie Bât neuf'!$C$15/100)</f>
        <v>140</v>
      </c>
      <c r="M43" s="51">
        <f>IF(160*'Saisie Bât neuf'!$C$16/100&lt;80,80,160*'Saisie Bât neuf'!$C$16/100)</f>
        <v>80</v>
      </c>
      <c r="N43" s="51">
        <f>IF((160+124)*'Saisie Bât neuf'!$C$16/100&lt;140,140,(160+124)*'Saisie Bât neuf'!$C$16/100)</f>
        <v>140</v>
      </c>
      <c r="O43" s="51">
        <f>IF(160*'Saisie Bât neuf'!$C$17/100&lt;80,80,160*'Saisie Bât neuf'!$C$17/100)</f>
        <v>80</v>
      </c>
      <c r="P43" s="51">
        <f>IF((160+124)*'Saisie Bât neuf'!$C$17/100&lt;140,140,(160+124)*'Saisie Bât neuf'!$C$17/100)</f>
        <v>140</v>
      </c>
      <c r="Q43" s="51">
        <f>IF(160*'Saisie Bât neuf'!$C$18/100&lt;80,80,160*'Saisie Bât neuf'!$C$18/100)</f>
        <v>80</v>
      </c>
      <c r="R43" s="51">
        <f>IF((160+124)*'Saisie Bât neuf'!$C$18/100&lt;140,140,(160+124)*'Saisie Bât neuf'!$C$18/100)</f>
        <v>140</v>
      </c>
      <c r="S43" s="52"/>
      <c r="T43" s="52"/>
      <c r="U43" s="52"/>
      <c r="AR43" s="44" t="s">
        <v>253</v>
      </c>
      <c r="AS43" s="44">
        <v>2.1</v>
      </c>
      <c r="AT43" s="44">
        <f>AS6</f>
        <v>0.25159999999999999</v>
      </c>
      <c r="AU43" s="44" t="e">
        <f>$AS$7</f>
        <v>#N/A</v>
      </c>
      <c r="AV43" s="44" t="e">
        <f>$AS$8</f>
        <v>#N/A</v>
      </c>
      <c r="AW43" s="44" t="e">
        <f>$AS$9</f>
        <v>#N/A</v>
      </c>
      <c r="AX43" s="44" t="e">
        <f>$AS$10</f>
        <v>#N/A</v>
      </c>
      <c r="AY43" s="44" t="s">
        <v>193</v>
      </c>
    </row>
    <row r="44" spans="1:64" x14ac:dyDescent="0.25">
      <c r="A44" s="44" t="s">
        <v>252</v>
      </c>
      <c r="B44" s="44">
        <v>54</v>
      </c>
      <c r="C44" s="44" t="s">
        <v>213</v>
      </c>
      <c r="D44" s="44">
        <f t="shared" si="5"/>
        <v>1.3</v>
      </c>
      <c r="E44" s="44">
        <f>IF('Saisie Bât neuf'!$C$4&gt;799,0.2,IF('Saisie Bât neuf'!$C$4&gt;399,0.1,0))</f>
        <v>0</v>
      </c>
      <c r="F44" s="44">
        <f>IF('Saisie Bât neuf'!$C$5="Non",50*(D44+E44),50*(D44+E44)+12)</f>
        <v>65</v>
      </c>
      <c r="G44" s="44">
        <v>-15</v>
      </c>
      <c r="H44" s="44">
        <f t="shared" si="3"/>
        <v>1</v>
      </c>
      <c r="I44" s="51">
        <f>IF(160*'Saisie Bât neuf'!$C$14/100&lt;80,80,160*'Saisie Bât neuf'!$C$14/100)</f>
        <v>80</v>
      </c>
      <c r="J44" s="51">
        <f>IF((160+124)*'Saisie Bât neuf'!$C$14/100&lt;140,140,(160+124)*'Saisie Bât neuf'!$C$14/100)</f>
        <v>142</v>
      </c>
      <c r="K44" s="51">
        <f>IF(160*'Saisie Bât neuf'!$C$15/100&lt;80,80,160*'Saisie Bât neuf'!$C$15/100)</f>
        <v>80</v>
      </c>
      <c r="L44" s="51">
        <f>IF((160+124)*'Saisie Bât neuf'!$C$15/100&lt;140,140,(160+124)*'Saisie Bât neuf'!$C$15/100)</f>
        <v>140</v>
      </c>
      <c r="M44" s="51">
        <f>IF(160*'Saisie Bât neuf'!$C$16/100&lt;80,80,160*'Saisie Bât neuf'!$C$16/100)</f>
        <v>80</v>
      </c>
      <c r="N44" s="51">
        <f>IF((160+124)*'Saisie Bât neuf'!$C$16/100&lt;140,140,(160+124)*'Saisie Bât neuf'!$C$16/100)</f>
        <v>140</v>
      </c>
      <c r="O44" s="51">
        <f>IF(160*'Saisie Bât neuf'!$C$17/100&lt;80,80,160*'Saisie Bât neuf'!$C$17/100)</f>
        <v>80</v>
      </c>
      <c r="P44" s="51">
        <f>IF((160+124)*'Saisie Bât neuf'!$C$17/100&lt;140,140,(160+124)*'Saisie Bât neuf'!$C$17/100)</f>
        <v>140</v>
      </c>
      <c r="Q44" s="51">
        <f>IF(160*'Saisie Bât neuf'!$C$18/100&lt;80,80,160*'Saisie Bât neuf'!$C$18/100)</f>
        <v>80</v>
      </c>
      <c r="R44" s="51">
        <f>IF((160+124)*'Saisie Bât neuf'!$C$18/100&lt;140,140,(160+124)*'Saisie Bât neuf'!$C$18/100)</f>
        <v>140</v>
      </c>
      <c r="S44" s="52"/>
      <c r="T44" s="52"/>
      <c r="U44" s="52"/>
      <c r="V44" s="107" t="s">
        <v>356</v>
      </c>
      <c r="W44" s="108">
        <v>0.4</v>
      </c>
      <c r="X44" s="43" t="s">
        <v>368</v>
      </c>
      <c r="AR44" s="44" t="s">
        <v>255</v>
      </c>
      <c r="AS44" s="44">
        <v>0.95</v>
      </c>
      <c r="AT44" s="44">
        <f>AS6</f>
        <v>0.25159999999999999</v>
      </c>
      <c r="AU44" s="44" t="e">
        <f>$AS$7</f>
        <v>#N/A</v>
      </c>
      <c r="AV44" s="44" t="e">
        <f>$AS$8</f>
        <v>#N/A</v>
      </c>
      <c r="AW44" s="44" t="e">
        <f>$AS$9</f>
        <v>#N/A</v>
      </c>
      <c r="AX44" s="44" t="e">
        <f>$AS$10</f>
        <v>#N/A</v>
      </c>
      <c r="AY44" s="44" t="s">
        <v>193</v>
      </c>
    </row>
    <row r="45" spans="1:64" x14ac:dyDescent="0.25">
      <c r="A45" s="44" t="s">
        <v>254</v>
      </c>
      <c r="B45" s="44">
        <v>44</v>
      </c>
      <c r="C45" s="44" t="s">
        <v>158</v>
      </c>
      <c r="D45" s="44">
        <f t="shared" si="5"/>
        <v>1</v>
      </c>
      <c r="E45" s="44">
        <f>IF('Saisie Bât neuf'!$C$4&gt;799,0.2,IF('Saisie Bât neuf'!$C$4&gt;399,0.1,0))</f>
        <v>0</v>
      </c>
      <c r="F45" s="44">
        <f>IF('Saisie Bât neuf'!$C$5="Non",50*(D45+E45),50*(D45+E45)+12)</f>
        <v>50</v>
      </c>
      <c r="G45" s="44">
        <v>-5</v>
      </c>
      <c r="H45" s="44">
        <f t="shared" si="3"/>
        <v>2</v>
      </c>
      <c r="I45" s="51">
        <f>IF(160*'Saisie Bât neuf'!$C$14/100&lt;80,80,160*'Saisie Bât neuf'!$C$14/100)</f>
        <v>80</v>
      </c>
      <c r="J45" s="51">
        <f>IF((160+124)*'Saisie Bât neuf'!$C$14/100&lt;140,140,(160+124)*'Saisie Bât neuf'!$C$14/100)</f>
        <v>142</v>
      </c>
      <c r="K45" s="51">
        <f>IF(160*'Saisie Bât neuf'!$C$15/100&lt;80,80,160*'Saisie Bât neuf'!$C$15/100)</f>
        <v>80</v>
      </c>
      <c r="L45" s="51">
        <f>IF((160+124)*'Saisie Bât neuf'!$C$15/100&lt;140,140,(160+124)*'Saisie Bât neuf'!$C$15/100)</f>
        <v>140</v>
      </c>
      <c r="M45" s="51">
        <f>IF(160*'Saisie Bât neuf'!$C$16/100&lt;80,80,160*'Saisie Bât neuf'!$C$16/100)</f>
        <v>80</v>
      </c>
      <c r="N45" s="51">
        <f>IF((160+124)*'Saisie Bât neuf'!$C$16/100&lt;140,140,(160+124)*'Saisie Bât neuf'!$C$16/100)</f>
        <v>140</v>
      </c>
      <c r="O45" s="51">
        <f>IF(160*'Saisie Bât neuf'!$C$17/100&lt;80,80,160*'Saisie Bât neuf'!$C$17/100)</f>
        <v>80</v>
      </c>
      <c r="P45" s="51">
        <f>IF((160+124)*'Saisie Bât neuf'!$C$17/100&lt;140,140,(160+124)*'Saisie Bât neuf'!$C$17/100)</f>
        <v>140</v>
      </c>
      <c r="Q45" s="51">
        <f>IF(160*'Saisie Bât neuf'!$C$18/100&lt;80,80,160*'Saisie Bât neuf'!$C$18/100)</f>
        <v>80</v>
      </c>
      <c r="R45" s="51">
        <f>IF((160+124)*'Saisie Bât neuf'!$C$18/100&lt;140,140,(160+124)*'Saisie Bât neuf'!$C$18/100)</f>
        <v>140</v>
      </c>
      <c r="S45" s="52"/>
      <c r="V45" s="107" t="s">
        <v>357</v>
      </c>
      <c r="W45" s="108">
        <v>0.5</v>
      </c>
      <c r="X45" s="43" t="s">
        <v>375</v>
      </c>
      <c r="AR45" s="44" t="s">
        <v>257</v>
      </c>
      <c r="AS45" s="44">
        <v>0.8</v>
      </c>
      <c r="AT45" s="44">
        <f>$AT$37</f>
        <v>4.9000000000000002E-2</v>
      </c>
      <c r="AU45" s="44">
        <f>$AT$37</f>
        <v>4.9000000000000002E-2</v>
      </c>
      <c r="AV45" s="44">
        <f>$AT$37</f>
        <v>4.9000000000000002E-2</v>
      </c>
      <c r="AW45" s="44">
        <f>$AT$37</f>
        <v>4.9000000000000002E-2</v>
      </c>
      <c r="AX45" s="44">
        <f>$AT$37</f>
        <v>4.9000000000000002E-2</v>
      </c>
      <c r="AY45" s="44" t="s">
        <v>238</v>
      </c>
    </row>
    <row r="46" spans="1:64" x14ac:dyDescent="0.25">
      <c r="A46" s="44" t="s">
        <v>256</v>
      </c>
      <c r="B46" s="44">
        <v>58</v>
      </c>
      <c r="C46" s="44" t="s">
        <v>213</v>
      </c>
      <c r="D46" s="44">
        <f t="shared" si="5"/>
        <v>1.3</v>
      </c>
      <c r="E46" s="44">
        <f>IF('Saisie Bât neuf'!$C$4&gt;799,0.2,IF('Saisie Bât neuf'!$C$4&gt;399,0.1,0))</f>
        <v>0</v>
      </c>
      <c r="F46" s="44">
        <f>IF('Saisie Bât neuf'!$C$5="Non",50*(D46+E46),50*(D46+E46)+12)</f>
        <v>65</v>
      </c>
      <c r="G46" s="44">
        <v>-10</v>
      </c>
      <c r="H46" s="44">
        <f t="shared" si="3"/>
        <v>1</v>
      </c>
      <c r="I46" s="51">
        <f>IF(160*'Saisie Bât neuf'!$C$14/100&lt;80,80,160*'Saisie Bât neuf'!$C$14/100)</f>
        <v>80</v>
      </c>
      <c r="J46" s="51">
        <f>IF((160+124)*'Saisie Bât neuf'!$C$14/100&lt;140,140,(160+124)*'Saisie Bât neuf'!$C$14/100)</f>
        <v>142</v>
      </c>
      <c r="K46" s="51">
        <f>IF(160*'Saisie Bât neuf'!$C$15/100&lt;80,80,160*'Saisie Bât neuf'!$C$15/100)</f>
        <v>80</v>
      </c>
      <c r="L46" s="51">
        <f>IF((160+124)*'Saisie Bât neuf'!$C$15/100&lt;140,140,(160+124)*'Saisie Bât neuf'!$C$15/100)</f>
        <v>140</v>
      </c>
      <c r="M46" s="51">
        <f>IF(160*'Saisie Bât neuf'!$C$16/100&lt;80,80,160*'Saisie Bât neuf'!$C$16/100)</f>
        <v>80</v>
      </c>
      <c r="N46" s="51">
        <f>IF((160+124)*'Saisie Bât neuf'!$C$16/100&lt;140,140,(160+124)*'Saisie Bât neuf'!$C$16/100)</f>
        <v>140</v>
      </c>
      <c r="O46" s="51">
        <f>IF(160*'Saisie Bât neuf'!$C$17/100&lt;80,80,160*'Saisie Bât neuf'!$C$17/100)</f>
        <v>80</v>
      </c>
      <c r="P46" s="51">
        <f>IF((160+124)*'Saisie Bât neuf'!$C$17/100&lt;140,140,(160+124)*'Saisie Bât neuf'!$C$17/100)</f>
        <v>140</v>
      </c>
      <c r="Q46" s="51">
        <f>IF(160*'Saisie Bât neuf'!$C$18/100&lt;80,80,160*'Saisie Bât neuf'!$C$18/100)</f>
        <v>80</v>
      </c>
      <c r="R46" s="51">
        <f>IF((160+124)*'Saisie Bât neuf'!$C$18/100&lt;140,140,(160+124)*'Saisie Bât neuf'!$C$18/100)</f>
        <v>140</v>
      </c>
      <c r="S46" s="52"/>
      <c r="AR46" s="44" t="s">
        <v>259</v>
      </c>
      <c r="AS46" s="44">
        <v>0.85</v>
      </c>
      <c r="AT46" s="44">
        <f>$AT$38</f>
        <v>9.1999999999999998E-2</v>
      </c>
      <c r="AU46" s="44">
        <f>$AT$38</f>
        <v>9.1999999999999998E-2</v>
      </c>
      <c r="AV46" s="44">
        <f>$AT$38</f>
        <v>9.1999999999999998E-2</v>
      </c>
      <c r="AW46" s="44">
        <f>$AT$38</f>
        <v>9.1999999999999998E-2</v>
      </c>
      <c r="AX46" s="44">
        <f>$AT$38</f>
        <v>9.1999999999999998E-2</v>
      </c>
      <c r="AY46" s="44" t="s">
        <v>238</v>
      </c>
    </row>
    <row r="47" spans="1:64" x14ac:dyDescent="0.25">
      <c r="A47" s="44" t="s">
        <v>258</v>
      </c>
      <c r="B47" s="44">
        <v>6</v>
      </c>
      <c r="C47" s="44" t="s">
        <v>237</v>
      </c>
      <c r="D47" s="44">
        <f t="shared" si="5"/>
        <v>0.8</v>
      </c>
      <c r="E47" s="44">
        <f>IF('Saisie Bât neuf'!$C$4&gt;799,0.2,IF('Saisie Bât neuf'!$C$4&gt;399,0.1,0))</f>
        <v>0</v>
      </c>
      <c r="F47" s="44">
        <f>IF('Saisie Bât neuf'!$C$5="Non",50*(D47+E47),50*(D47+E47)+12)</f>
        <v>40</v>
      </c>
      <c r="G47" s="44">
        <v>-2</v>
      </c>
      <c r="H47" s="44">
        <f t="shared" si="3"/>
        <v>4</v>
      </c>
      <c r="I47" s="51">
        <f>IF(160*'Saisie Bât neuf'!$C$14/100&lt;80,80,160*'Saisie Bât neuf'!$C$14/100)</f>
        <v>80</v>
      </c>
      <c r="J47" s="51">
        <f>IF((160+124)*'Saisie Bât neuf'!$C$14/100&lt;140,140,(160+124)*'Saisie Bât neuf'!$C$14/100)</f>
        <v>142</v>
      </c>
      <c r="K47" s="51">
        <f>IF(160*'Saisie Bât neuf'!$C$15/100&lt;80,80,160*'Saisie Bât neuf'!$C$15/100)</f>
        <v>80</v>
      </c>
      <c r="L47" s="51">
        <f>IF((160+124)*'Saisie Bât neuf'!$C$15/100&lt;140,140,(160+124)*'Saisie Bât neuf'!$C$15/100)</f>
        <v>140</v>
      </c>
      <c r="M47" s="51">
        <f>IF(160*'Saisie Bât neuf'!$C$16/100&lt;80,80,160*'Saisie Bât neuf'!$C$16/100)</f>
        <v>80</v>
      </c>
      <c r="N47" s="51">
        <f>IF((160+124)*'Saisie Bât neuf'!$C$16/100&lt;140,140,(160+124)*'Saisie Bât neuf'!$C$16/100)</f>
        <v>140</v>
      </c>
      <c r="O47" s="51">
        <f>IF(160*'Saisie Bât neuf'!$C$17/100&lt;80,80,160*'Saisie Bât neuf'!$C$17/100)</f>
        <v>80</v>
      </c>
      <c r="P47" s="51">
        <f>IF((160+124)*'Saisie Bât neuf'!$C$17/100&lt;140,140,(160+124)*'Saisie Bât neuf'!$C$17/100)</f>
        <v>140</v>
      </c>
      <c r="Q47" s="51">
        <f>IF(160*'Saisie Bât neuf'!$C$18/100&lt;80,80,160*'Saisie Bât neuf'!$C$18/100)</f>
        <v>80</v>
      </c>
      <c r="R47" s="51">
        <f>IF((160+124)*'Saisie Bât neuf'!$C$18/100&lt;140,140,(160+124)*'Saisie Bât neuf'!$C$18/100)</f>
        <v>140</v>
      </c>
      <c r="S47" s="52"/>
      <c r="AR47" s="44" t="s">
        <v>261</v>
      </c>
      <c r="AS47" s="44">
        <v>0.9</v>
      </c>
      <c r="AT47" s="44">
        <f>$AS$6</f>
        <v>0.25159999999999999</v>
      </c>
      <c r="AU47" s="44" t="e">
        <f>$AS$7</f>
        <v>#N/A</v>
      </c>
      <c r="AV47" s="44" t="e">
        <f>$AS$8</f>
        <v>#N/A</v>
      </c>
      <c r="AW47" s="44" t="e">
        <f>$AS$9</f>
        <v>#N/A</v>
      </c>
      <c r="AX47" s="44" t="e">
        <f>$AS$10</f>
        <v>#N/A</v>
      </c>
      <c r="AY47" s="44" t="s">
        <v>193</v>
      </c>
    </row>
    <row r="48" spans="1:64" x14ac:dyDescent="0.25">
      <c r="A48" s="44" t="s">
        <v>260</v>
      </c>
      <c r="B48" s="44">
        <v>30</v>
      </c>
      <c r="C48" s="44" t="s">
        <v>237</v>
      </c>
      <c r="D48" s="44">
        <f t="shared" si="5"/>
        <v>0.8</v>
      </c>
      <c r="E48" s="44">
        <f>IF('Saisie Bât neuf'!$C$4&gt;799,0.2,IF('Saisie Bât neuf'!$C$4&gt;399,0.1,0))</f>
        <v>0</v>
      </c>
      <c r="F48" s="44">
        <f>IF('Saisie Bât neuf'!$C$5="Non",50*(D48+E48),50*(D48+E48)+12)</f>
        <v>40</v>
      </c>
      <c r="G48" s="44">
        <v>-5</v>
      </c>
      <c r="H48" s="44">
        <f t="shared" si="3"/>
        <v>4</v>
      </c>
      <c r="I48" s="51">
        <f>IF(160*'Saisie Bât neuf'!$C$14/100&lt;80,80,160*'Saisie Bât neuf'!$C$14/100)</f>
        <v>80</v>
      </c>
      <c r="J48" s="51">
        <f>IF((160+124)*'Saisie Bât neuf'!$C$14/100&lt;140,140,(160+124)*'Saisie Bât neuf'!$C$14/100)</f>
        <v>142</v>
      </c>
      <c r="K48" s="51">
        <f>IF(160*'Saisie Bât neuf'!$C$15/100&lt;80,80,160*'Saisie Bât neuf'!$C$15/100)</f>
        <v>80</v>
      </c>
      <c r="L48" s="51">
        <f>IF((160+124)*'Saisie Bât neuf'!$C$15/100&lt;140,140,(160+124)*'Saisie Bât neuf'!$C$15/100)</f>
        <v>140</v>
      </c>
      <c r="M48" s="51">
        <f>IF(160*'Saisie Bât neuf'!$C$16/100&lt;80,80,160*'Saisie Bât neuf'!$C$16/100)</f>
        <v>80</v>
      </c>
      <c r="N48" s="51">
        <f>IF((160+124)*'Saisie Bât neuf'!$C$16/100&lt;140,140,(160+124)*'Saisie Bât neuf'!$C$16/100)</f>
        <v>140</v>
      </c>
      <c r="O48" s="51">
        <f>IF(160*'Saisie Bât neuf'!$C$17/100&lt;80,80,160*'Saisie Bât neuf'!$C$17/100)</f>
        <v>80</v>
      </c>
      <c r="P48" s="51">
        <f>IF((160+124)*'Saisie Bât neuf'!$C$17/100&lt;140,140,(160+124)*'Saisie Bât neuf'!$C$17/100)</f>
        <v>140</v>
      </c>
      <c r="Q48" s="51">
        <f>IF(160*'Saisie Bât neuf'!$C$18/100&lt;80,80,160*'Saisie Bât neuf'!$C$18/100)</f>
        <v>80</v>
      </c>
      <c r="R48" s="51">
        <f>IF((160+124)*'Saisie Bât neuf'!$C$18/100&lt;140,140,(160+124)*'Saisie Bât neuf'!$C$18/100)</f>
        <v>140</v>
      </c>
      <c r="S48" s="52"/>
      <c r="AR48" s="44" t="s">
        <v>263</v>
      </c>
      <c r="AS48" s="44">
        <v>0.9</v>
      </c>
      <c r="AT48" s="44">
        <f>$AS$6</f>
        <v>0.25159999999999999</v>
      </c>
      <c r="AU48" s="44" t="e">
        <f>$AS$7</f>
        <v>#N/A</v>
      </c>
      <c r="AV48" s="44" t="e">
        <f>$AS$8</f>
        <v>#N/A</v>
      </c>
      <c r="AW48" s="44" t="e">
        <f>$AS$9</f>
        <v>#N/A</v>
      </c>
      <c r="AX48" s="44" t="e">
        <f>$AS$10</f>
        <v>#N/A</v>
      </c>
      <c r="AY48" s="44" t="s">
        <v>193</v>
      </c>
    </row>
    <row r="49" spans="1:47" x14ac:dyDescent="0.25">
      <c r="A49" s="44" t="s">
        <v>262</v>
      </c>
      <c r="B49" s="44">
        <v>84</v>
      </c>
      <c r="C49" s="44" t="s">
        <v>245</v>
      </c>
      <c r="D49" s="44">
        <f t="shared" si="5"/>
        <v>0.9</v>
      </c>
      <c r="E49" s="44">
        <f>IF('Saisie Bât neuf'!$C$4&gt;799,0.2,IF('Saisie Bât neuf'!$C$4&gt;399,0.1,0))</f>
        <v>0</v>
      </c>
      <c r="F49" s="44">
        <f>IF('Saisie Bât neuf'!$C$5="Non",50*(D49+E49),50*(D49+E49)+12)</f>
        <v>45</v>
      </c>
      <c r="G49" s="44">
        <v>-7</v>
      </c>
      <c r="H49" s="44">
        <f t="shared" si="3"/>
        <v>2</v>
      </c>
      <c r="I49" s="51">
        <f>IF(160*'Saisie Bât neuf'!$C$14/100&lt;80,80,160*'Saisie Bât neuf'!$C$14/100)</f>
        <v>80</v>
      </c>
      <c r="J49" s="51">
        <f>IF((160+124)*'Saisie Bât neuf'!$C$14/100&lt;140,140,(160+124)*'Saisie Bât neuf'!$C$14/100)</f>
        <v>142</v>
      </c>
      <c r="K49" s="51">
        <f>IF(160*'Saisie Bât neuf'!$C$15/100&lt;80,80,160*'Saisie Bât neuf'!$C$15/100)</f>
        <v>80</v>
      </c>
      <c r="L49" s="51">
        <f>IF((160+124)*'Saisie Bât neuf'!$C$15/100&lt;140,140,(160+124)*'Saisie Bât neuf'!$C$15/100)</f>
        <v>140</v>
      </c>
      <c r="M49" s="51">
        <f>IF(160*'Saisie Bât neuf'!$C$16/100&lt;80,80,160*'Saisie Bât neuf'!$C$16/100)</f>
        <v>80</v>
      </c>
      <c r="N49" s="51">
        <f>IF((160+124)*'Saisie Bât neuf'!$C$16/100&lt;140,140,(160+124)*'Saisie Bât neuf'!$C$16/100)</f>
        <v>140</v>
      </c>
      <c r="O49" s="51">
        <f>IF(160*'Saisie Bât neuf'!$C$17/100&lt;80,80,160*'Saisie Bât neuf'!$C$17/100)</f>
        <v>80</v>
      </c>
      <c r="P49" s="51">
        <f>IF((160+124)*'Saisie Bât neuf'!$C$17/100&lt;140,140,(160+124)*'Saisie Bât neuf'!$C$17/100)</f>
        <v>140</v>
      </c>
      <c r="Q49" s="51">
        <f>IF(160*'Saisie Bât neuf'!$C$18/100&lt;80,80,160*'Saisie Bât neuf'!$C$18/100)</f>
        <v>80</v>
      </c>
      <c r="R49" s="51">
        <f>IF((160+124)*'Saisie Bât neuf'!$C$18/100&lt;140,140,(160+124)*'Saisie Bât neuf'!$C$18/100)</f>
        <v>140</v>
      </c>
      <c r="S49" s="52"/>
    </row>
    <row r="50" spans="1:47" x14ac:dyDescent="0.25">
      <c r="A50" s="44" t="s">
        <v>264</v>
      </c>
      <c r="B50" s="44">
        <v>45</v>
      </c>
      <c r="C50" s="44" t="s">
        <v>213</v>
      </c>
      <c r="D50" s="44">
        <f t="shared" si="5"/>
        <v>1.3</v>
      </c>
      <c r="E50" s="44">
        <f>IF('Saisie Bât neuf'!$C$4&gt;799,0.2,IF('Saisie Bât neuf'!$C$4&gt;399,0.1,0))</f>
        <v>0</v>
      </c>
      <c r="F50" s="44">
        <f>IF('Saisie Bât neuf'!$C$5="Non",50*(D50+E50),50*(D50+E50)+12)</f>
        <v>65</v>
      </c>
      <c r="G50" s="44">
        <v>-7</v>
      </c>
      <c r="H50" s="44">
        <f t="shared" si="3"/>
        <v>1</v>
      </c>
      <c r="I50" s="51">
        <f>IF(160*'Saisie Bât neuf'!$C$14/100&lt;80,80,160*'Saisie Bât neuf'!$C$14/100)</f>
        <v>80</v>
      </c>
      <c r="J50" s="51">
        <f>IF((160+124)*'Saisie Bât neuf'!$C$14/100&lt;140,140,(160+124)*'Saisie Bât neuf'!$C$14/100)</f>
        <v>142</v>
      </c>
      <c r="K50" s="51">
        <f>IF(160*'Saisie Bât neuf'!$C$15/100&lt;80,80,160*'Saisie Bât neuf'!$C$15/100)</f>
        <v>80</v>
      </c>
      <c r="L50" s="51">
        <f>IF((160+124)*'Saisie Bât neuf'!$C$15/100&lt;140,140,(160+124)*'Saisie Bât neuf'!$C$15/100)</f>
        <v>140</v>
      </c>
      <c r="M50" s="51">
        <f>IF(160*'Saisie Bât neuf'!$C$16/100&lt;80,80,160*'Saisie Bât neuf'!$C$16/100)</f>
        <v>80</v>
      </c>
      <c r="N50" s="51">
        <f>IF((160+124)*'Saisie Bât neuf'!$C$16/100&lt;140,140,(160+124)*'Saisie Bât neuf'!$C$16/100)</f>
        <v>140</v>
      </c>
      <c r="O50" s="51">
        <f>IF(160*'Saisie Bât neuf'!$C$17/100&lt;80,80,160*'Saisie Bât neuf'!$C$17/100)</f>
        <v>80</v>
      </c>
      <c r="P50" s="51">
        <f>IF((160+124)*'Saisie Bât neuf'!$C$17/100&lt;140,140,(160+124)*'Saisie Bât neuf'!$C$17/100)</f>
        <v>140</v>
      </c>
      <c r="Q50" s="51">
        <f>IF(160*'Saisie Bât neuf'!$C$18/100&lt;80,80,160*'Saisie Bât neuf'!$C$18/100)</f>
        <v>80</v>
      </c>
      <c r="R50" s="51">
        <f>IF((160+124)*'Saisie Bât neuf'!$C$18/100&lt;140,140,(160+124)*'Saisie Bât neuf'!$C$18/100)</f>
        <v>140</v>
      </c>
      <c r="S50" s="52"/>
      <c r="AT50" s="43" t="s">
        <v>359</v>
      </c>
    </row>
    <row r="51" spans="1:47" x14ac:dyDescent="0.25">
      <c r="A51" s="44" t="s">
        <v>265</v>
      </c>
      <c r="B51" s="44">
        <v>75</v>
      </c>
      <c r="C51" s="44" t="s">
        <v>137</v>
      </c>
      <c r="D51" s="44">
        <f t="shared" si="5"/>
        <v>1.3</v>
      </c>
      <c r="E51" s="44">
        <f>IF('Saisie Bât neuf'!$C$4&gt;799,0.2,IF('Saisie Bât neuf'!$C$4&gt;399,0.1,0))</f>
        <v>0</v>
      </c>
      <c r="F51" s="44">
        <f>IF('Saisie Bât neuf'!$C$5="Non",50*(D51+E51),50*(D51+E51)+12)</f>
        <v>65</v>
      </c>
      <c r="G51" s="44">
        <v>-7</v>
      </c>
      <c r="H51" s="44">
        <f t="shared" si="3"/>
        <v>1</v>
      </c>
      <c r="I51" s="51">
        <f>IF(160*'Saisie Bât neuf'!$C$14/100&lt;80,80,160*'Saisie Bât neuf'!$C$14/100)</f>
        <v>80</v>
      </c>
      <c r="J51" s="51">
        <f>IF((160+124)*'Saisie Bât neuf'!$C$14/100&lt;140,140,(160+124)*'Saisie Bât neuf'!$C$14/100)</f>
        <v>142</v>
      </c>
      <c r="K51" s="51">
        <f>IF(160*'Saisie Bât neuf'!$C$15/100&lt;80,80,160*'Saisie Bât neuf'!$C$15/100)</f>
        <v>80</v>
      </c>
      <c r="L51" s="51">
        <f>IF((160+124)*'Saisie Bât neuf'!$C$15/100&lt;140,140,(160+124)*'Saisie Bât neuf'!$C$15/100)</f>
        <v>140</v>
      </c>
      <c r="M51" s="51">
        <f>IF(160*'Saisie Bât neuf'!$C$16/100&lt;80,80,160*'Saisie Bât neuf'!$C$16/100)</f>
        <v>80</v>
      </c>
      <c r="N51" s="51">
        <f>IF((160+124)*'Saisie Bât neuf'!$C$16/100&lt;140,140,(160+124)*'Saisie Bât neuf'!$C$16/100)</f>
        <v>140</v>
      </c>
      <c r="O51" s="51">
        <f>IF(160*'Saisie Bât neuf'!$C$17/100&lt;80,80,160*'Saisie Bât neuf'!$C$17/100)</f>
        <v>80</v>
      </c>
      <c r="P51" s="51">
        <f>IF((160+124)*'Saisie Bât neuf'!$C$17/100&lt;140,140,(160+124)*'Saisie Bât neuf'!$C$17/100)</f>
        <v>140</v>
      </c>
      <c r="Q51" s="51">
        <f>IF(160*'Saisie Bât neuf'!$C$18/100&lt;80,80,160*'Saisie Bât neuf'!$C$18/100)</f>
        <v>80</v>
      </c>
      <c r="R51" s="51">
        <f>IF((160+124)*'Saisie Bât neuf'!$C$18/100&lt;140,140,(160+124)*'Saisie Bât neuf'!$C$18/100)</f>
        <v>140</v>
      </c>
      <c r="S51" s="52"/>
      <c r="AS51" s="43" t="s">
        <v>140</v>
      </c>
      <c r="AT51" s="44">
        <f>VLOOKUP('Saisie Bât neuf'!$D14,$AR$37:$AX$48,3,0)</f>
        <v>0.25159999999999999</v>
      </c>
      <c r="AU51" s="85"/>
    </row>
    <row r="52" spans="1:47" x14ac:dyDescent="0.25">
      <c r="A52" s="44" t="s">
        <v>266</v>
      </c>
      <c r="B52" s="44">
        <v>64</v>
      </c>
      <c r="C52" s="44" t="s">
        <v>142</v>
      </c>
      <c r="D52" s="44">
        <f t="shared" si="5"/>
        <v>0.9</v>
      </c>
      <c r="E52" s="44">
        <f>IF('Saisie Bât neuf'!$C$4&gt;799,0.2,IF('Saisie Bât neuf'!$C$4&gt;399,0.1,0))</f>
        <v>0</v>
      </c>
      <c r="F52" s="44">
        <f>IF('Saisie Bât neuf'!$C$5="Non",50*(D52+E52),50*(D52+E52)+12)</f>
        <v>45</v>
      </c>
      <c r="G52" s="44">
        <v>-5</v>
      </c>
      <c r="H52" s="44">
        <f t="shared" si="3"/>
        <v>2</v>
      </c>
      <c r="I52" s="51">
        <f>IF(160*'Saisie Bât neuf'!$C$14/100&lt;80,80,160*'Saisie Bât neuf'!$C$14/100)</f>
        <v>80</v>
      </c>
      <c r="J52" s="51">
        <f>IF((160+124)*'Saisie Bât neuf'!$C$14/100&lt;140,140,(160+124)*'Saisie Bât neuf'!$C$14/100)</f>
        <v>142</v>
      </c>
      <c r="K52" s="51">
        <f>IF(160*'Saisie Bât neuf'!$C$15/100&lt;80,80,160*'Saisie Bât neuf'!$C$15/100)</f>
        <v>80</v>
      </c>
      <c r="L52" s="51">
        <f>IF((160+124)*'Saisie Bât neuf'!$C$15/100&lt;140,140,(160+124)*'Saisie Bât neuf'!$C$15/100)</f>
        <v>140</v>
      </c>
      <c r="M52" s="51">
        <f>IF(160*'Saisie Bât neuf'!$C$16/100&lt;80,80,160*'Saisie Bât neuf'!$C$16/100)</f>
        <v>80</v>
      </c>
      <c r="N52" s="51">
        <f>IF((160+124)*'Saisie Bât neuf'!$C$16/100&lt;140,140,(160+124)*'Saisie Bât neuf'!$C$16/100)</f>
        <v>140</v>
      </c>
      <c r="O52" s="51">
        <f>IF(160*'Saisie Bât neuf'!$C$17/100&lt;80,80,160*'Saisie Bât neuf'!$C$17/100)</f>
        <v>80</v>
      </c>
      <c r="P52" s="51">
        <f>IF((160+124)*'Saisie Bât neuf'!$C$17/100&lt;140,140,(160+124)*'Saisie Bât neuf'!$C$17/100)</f>
        <v>140</v>
      </c>
      <c r="Q52" s="51">
        <f>IF(160*'Saisie Bât neuf'!$C$18/100&lt;80,80,160*'Saisie Bât neuf'!$C$18/100)</f>
        <v>80</v>
      </c>
      <c r="R52" s="51">
        <f>IF((160+124)*'Saisie Bât neuf'!$C$18/100&lt;140,140,(160+124)*'Saisie Bât neuf'!$C$18/100)</f>
        <v>140</v>
      </c>
      <c r="S52" s="52"/>
      <c r="AS52" s="43" t="s">
        <v>145</v>
      </c>
      <c r="AT52" s="44" t="e">
        <f>VLOOKUP('Saisie Bât neuf'!$D15,$AR$37:$AX$48,3,0)</f>
        <v>#N/A</v>
      </c>
      <c r="AU52" s="85"/>
    </row>
    <row r="53" spans="1:47" x14ac:dyDescent="0.25">
      <c r="A53" s="44" t="s">
        <v>267</v>
      </c>
      <c r="B53" s="44">
        <v>66</v>
      </c>
      <c r="C53" s="44" t="s">
        <v>237</v>
      </c>
      <c r="D53" s="44">
        <f t="shared" si="5"/>
        <v>0.8</v>
      </c>
      <c r="E53" s="44">
        <f>IF('Saisie Bât neuf'!$C$4&gt;799,0.2,IF('Saisie Bât neuf'!$C$4&gt;399,0.1,0))</f>
        <v>0</v>
      </c>
      <c r="F53" s="44">
        <f>IF('Saisie Bât neuf'!$C$5="Non",50*(D53+E53),50*(D53+E53)+12)</f>
        <v>40</v>
      </c>
      <c r="G53" s="44">
        <v>-4</v>
      </c>
      <c r="H53" s="44">
        <f t="shared" si="3"/>
        <v>4</v>
      </c>
      <c r="I53" s="51">
        <f>IF(160*'Saisie Bât neuf'!$C$14/100&lt;80,80,160*'Saisie Bât neuf'!$C$14/100)</f>
        <v>80</v>
      </c>
      <c r="J53" s="51">
        <f>IF((160+124)*'Saisie Bât neuf'!$C$14/100&lt;140,140,(160+124)*'Saisie Bât neuf'!$C$14/100)</f>
        <v>142</v>
      </c>
      <c r="K53" s="51">
        <f>IF(160*'Saisie Bât neuf'!$C$15/100&lt;80,80,160*'Saisie Bât neuf'!$C$15/100)</f>
        <v>80</v>
      </c>
      <c r="L53" s="51">
        <f>IF((160+124)*'Saisie Bât neuf'!$C$15/100&lt;140,140,(160+124)*'Saisie Bât neuf'!$C$15/100)</f>
        <v>140</v>
      </c>
      <c r="M53" s="51">
        <f>IF(160*'Saisie Bât neuf'!$C$16/100&lt;80,80,160*'Saisie Bât neuf'!$C$16/100)</f>
        <v>80</v>
      </c>
      <c r="N53" s="51">
        <f>IF((160+124)*'Saisie Bât neuf'!$C$16/100&lt;140,140,(160+124)*'Saisie Bât neuf'!$C$16/100)</f>
        <v>140</v>
      </c>
      <c r="O53" s="51">
        <f>IF(160*'Saisie Bât neuf'!$C$17/100&lt;80,80,160*'Saisie Bât neuf'!$C$17/100)</f>
        <v>80</v>
      </c>
      <c r="P53" s="51">
        <f>IF((160+124)*'Saisie Bât neuf'!$C$17/100&lt;140,140,(160+124)*'Saisie Bât neuf'!$C$17/100)</f>
        <v>140</v>
      </c>
      <c r="Q53" s="51">
        <f>IF(160*'Saisie Bât neuf'!$C$18/100&lt;80,80,160*'Saisie Bât neuf'!$C$18/100)</f>
        <v>80</v>
      </c>
      <c r="R53" s="51">
        <f>IF((160+124)*'Saisie Bât neuf'!$C$18/100&lt;140,140,(160+124)*'Saisie Bât neuf'!$C$18/100)</f>
        <v>140</v>
      </c>
      <c r="S53" s="52"/>
      <c r="AS53" s="43" t="s">
        <v>149</v>
      </c>
      <c r="AT53" s="44" t="e">
        <f>VLOOKUP('Saisie Bât neuf'!$D16,$AR$37:$AX$48,3,0)</f>
        <v>#N/A</v>
      </c>
      <c r="AU53" s="85"/>
    </row>
    <row r="54" spans="1:47" x14ac:dyDescent="0.25">
      <c r="A54" s="44" t="s">
        <v>268</v>
      </c>
      <c r="B54" s="44">
        <v>86</v>
      </c>
      <c r="C54" s="44" t="s">
        <v>158</v>
      </c>
      <c r="D54" s="44">
        <f t="shared" si="5"/>
        <v>1</v>
      </c>
      <c r="E54" s="44">
        <f>IF('Saisie Bât neuf'!$C$4&gt;799,0.2,IF('Saisie Bât neuf'!$C$4&gt;399,0.1,0))</f>
        <v>0</v>
      </c>
      <c r="F54" s="44">
        <f>IF('Saisie Bât neuf'!$C$5="Non",50*(D54+E54),50*(D54+E54)+12)</f>
        <v>50</v>
      </c>
      <c r="G54" s="44">
        <v>-7</v>
      </c>
      <c r="H54" s="44">
        <f t="shared" si="3"/>
        <v>2</v>
      </c>
      <c r="I54" s="51">
        <f>IF(160*'Saisie Bât neuf'!$C$14/100&lt;80,80,160*'Saisie Bât neuf'!$C$14/100)</f>
        <v>80</v>
      </c>
      <c r="J54" s="51">
        <f>IF((160+124)*'Saisie Bât neuf'!$C$14/100&lt;140,140,(160+124)*'Saisie Bât neuf'!$C$14/100)</f>
        <v>142</v>
      </c>
      <c r="K54" s="51">
        <f>IF(160*'Saisie Bât neuf'!$C$15/100&lt;80,80,160*'Saisie Bât neuf'!$C$15/100)</f>
        <v>80</v>
      </c>
      <c r="L54" s="51">
        <f>IF((160+124)*'Saisie Bât neuf'!$C$15/100&lt;140,140,(160+124)*'Saisie Bât neuf'!$C$15/100)</f>
        <v>140</v>
      </c>
      <c r="M54" s="51">
        <f>IF(160*'Saisie Bât neuf'!$C$16/100&lt;80,80,160*'Saisie Bât neuf'!$C$16/100)</f>
        <v>80</v>
      </c>
      <c r="N54" s="51">
        <f>IF((160+124)*'Saisie Bât neuf'!$C$16/100&lt;140,140,(160+124)*'Saisie Bât neuf'!$C$16/100)</f>
        <v>140</v>
      </c>
      <c r="O54" s="51">
        <f>IF(160*'Saisie Bât neuf'!$C$17/100&lt;80,80,160*'Saisie Bât neuf'!$C$17/100)</f>
        <v>80</v>
      </c>
      <c r="P54" s="51">
        <f>IF((160+124)*'Saisie Bât neuf'!$C$17/100&lt;140,140,(160+124)*'Saisie Bât neuf'!$C$17/100)</f>
        <v>140</v>
      </c>
      <c r="Q54" s="51">
        <f>IF(160*'Saisie Bât neuf'!$C$18/100&lt;80,80,160*'Saisie Bât neuf'!$C$18/100)</f>
        <v>80</v>
      </c>
      <c r="R54" s="51">
        <f>IF((160+124)*'Saisie Bât neuf'!$C$18/100&lt;140,140,(160+124)*'Saisie Bât neuf'!$C$18/100)</f>
        <v>140</v>
      </c>
      <c r="S54" s="52"/>
      <c r="AS54" s="43" t="s">
        <v>150</v>
      </c>
      <c r="AT54" s="44" t="e">
        <f>VLOOKUP('Saisie Bât neuf'!$D17,$AR$37:$AX$48,3,0)</f>
        <v>#N/A</v>
      </c>
      <c r="AU54" s="85"/>
    </row>
    <row r="55" spans="1:47" x14ac:dyDescent="0.25">
      <c r="A55" s="44" t="s">
        <v>269</v>
      </c>
      <c r="B55" s="44">
        <v>51</v>
      </c>
      <c r="C55" s="44" t="s">
        <v>213</v>
      </c>
      <c r="D55" s="44">
        <f t="shared" si="5"/>
        <v>1.3</v>
      </c>
      <c r="E55" s="44">
        <f>IF('Saisie Bât neuf'!$C$4&gt;799,0.2,IF('Saisie Bât neuf'!$C$4&gt;399,0.1,0))</f>
        <v>0</v>
      </c>
      <c r="F55" s="44">
        <f>IF('Saisie Bât neuf'!$C$5="Non",50*(D55+E55),50*(D55+E55)+12)</f>
        <v>65</v>
      </c>
      <c r="G55" s="44">
        <v>-10</v>
      </c>
      <c r="H55" s="44">
        <f t="shared" si="3"/>
        <v>1</v>
      </c>
      <c r="I55" s="51">
        <f>IF(160*'Saisie Bât neuf'!$C$14/100&lt;80,80,160*'Saisie Bât neuf'!$C$14/100)</f>
        <v>80</v>
      </c>
      <c r="J55" s="51">
        <f>IF((160+124)*'Saisie Bât neuf'!$C$14/100&lt;140,140,(160+124)*'Saisie Bât neuf'!$C$14/100)</f>
        <v>142</v>
      </c>
      <c r="K55" s="51">
        <f>IF(160*'Saisie Bât neuf'!$C$15/100&lt;80,80,160*'Saisie Bât neuf'!$C$15/100)</f>
        <v>80</v>
      </c>
      <c r="L55" s="51">
        <f>IF((160+124)*'Saisie Bât neuf'!$C$15/100&lt;140,140,(160+124)*'Saisie Bât neuf'!$C$15/100)</f>
        <v>140</v>
      </c>
      <c r="M55" s="51">
        <f>IF(160*'Saisie Bât neuf'!$C$16/100&lt;80,80,160*'Saisie Bât neuf'!$C$16/100)</f>
        <v>80</v>
      </c>
      <c r="N55" s="51">
        <f>IF((160+124)*'Saisie Bât neuf'!$C$16/100&lt;140,140,(160+124)*'Saisie Bât neuf'!$C$16/100)</f>
        <v>140</v>
      </c>
      <c r="O55" s="51">
        <f>IF(160*'Saisie Bât neuf'!$C$17/100&lt;80,80,160*'Saisie Bât neuf'!$C$17/100)</f>
        <v>80</v>
      </c>
      <c r="P55" s="51">
        <f>IF((160+124)*'Saisie Bât neuf'!$C$17/100&lt;140,140,(160+124)*'Saisie Bât neuf'!$C$17/100)</f>
        <v>140</v>
      </c>
      <c r="Q55" s="51">
        <f>IF(160*'Saisie Bât neuf'!$C$18/100&lt;80,80,160*'Saisie Bât neuf'!$C$18/100)</f>
        <v>80</v>
      </c>
      <c r="R55" s="51">
        <f>IF((160+124)*'Saisie Bât neuf'!$C$18/100&lt;140,140,(160+124)*'Saisie Bât neuf'!$C$18/100)</f>
        <v>140</v>
      </c>
      <c r="S55" s="52"/>
      <c r="AS55" s="43" t="s">
        <v>151</v>
      </c>
      <c r="AT55" s="44" t="e">
        <f>VLOOKUP('Saisie Bât neuf'!$D18,$AR$37:$AX$48,3,0)</f>
        <v>#N/A</v>
      </c>
      <c r="AU55" s="85"/>
    </row>
    <row r="56" spans="1:47" x14ac:dyDescent="0.25">
      <c r="A56" s="44" t="s">
        <v>270</v>
      </c>
      <c r="B56" s="44">
        <v>35</v>
      </c>
      <c r="C56" s="44" t="s">
        <v>181</v>
      </c>
      <c r="D56" s="44">
        <f t="shared" si="5"/>
        <v>1.1000000000000001</v>
      </c>
      <c r="E56" s="44">
        <f>IF('Saisie Bât neuf'!$C$4&gt;799,0.2,IF('Saisie Bât neuf'!$C$4&gt;399,0.1,0))</f>
        <v>0</v>
      </c>
      <c r="F56" s="44">
        <f>IF('Saisie Bât neuf'!$C$5="Non",50*(D56+E56),50*(D56+E56)+12)</f>
        <v>55.000000000000007</v>
      </c>
      <c r="G56" s="44">
        <v>-5</v>
      </c>
      <c r="H56" s="44">
        <f t="shared" si="3"/>
        <v>2</v>
      </c>
      <c r="I56" s="51">
        <f>IF(160*'Saisie Bât neuf'!$C$14/100&lt;80,80,160*'Saisie Bât neuf'!$C$14/100)</f>
        <v>80</v>
      </c>
      <c r="J56" s="51">
        <f>IF((160+124)*'Saisie Bât neuf'!$C$14/100&lt;140,140,(160+124)*'Saisie Bât neuf'!$C$14/100)</f>
        <v>142</v>
      </c>
      <c r="K56" s="51">
        <f>IF(160*'Saisie Bât neuf'!$C$15/100&lt;80,80,160*'Saisie Bât neuf'!$C$15/100)</f>
        <v>80</v>
      </c>
      <c r="L56" s="51">
        <f>IF((160+124)*'Saisie Bât neuf'!$C$15/100&lt;140,140,(160+124)*'Saisie Bât neuf'!$C$15/100)</f>
        <v>140</v>
      </c>
      <c r="M56" s="51">
        <f>IF(160*'Saisie Bât neuf'!$C$16/100&lt;80,80,160*'Saisie Bât neuf'!$C$16/100)</f>
        <v>80</v>
      </c>
      <c r="N56" s="51">
        <f>IF((160+124)*'Saisie Bât neuf'!$C$16/100&lt;140,140,(160+124)*'Saisie Bât neuf'!$C$16/100)</f>
        <v>140</v>
      </c>
      <c r="O56" s="51">
        <f>IF(160*'Saisie Bât neuf'!$C$17/100&lt;80,80,160*'Saisie Bât neuf'!$C$17/100)</f>
        <v>80</v>
      </c>
      <c r="P56" s="51">
        <f>IF((160+124)*'Saisie Bât neuf'!$C$17/100&lt;140,140,(160+124)*'Saisie Bât neuf'!$C$17/100)</f>
        <v>140</v>
      </c>
      <c r="Q56" s="51">
        <f>IF(160*'Saisie Bât neuf'!$C$18/100&lt;80,80,160*'Saisie Bât neuf'!$C$18/100)</f>
        <v>80</v>
      </c>
      <c r="R56" s="51">
        <f>IF((160+124)*'Saisie Bât neuf'!$C$18/100&lt;140,140,(160+124)*'Saisie Bât neuf'!$C$18/100)</f>
        <v>140</v>
      </c>
      <c r="S56" s="52"/>
    </row>
    <row r="57" spans="1:47" x14ac:dyDescent="0.25">
      <c r="A57" s="44" t="s">
        <v>271</v>
      </c>
      <c r="B57" s="44">
        <v>76</v>
      </c>
      <c r="C57" s="44" t="s">
        <v>137</v>
      </c>
      <c r="D57" s="44">
        <f t="shared" si="5"/>
        <v>1.3</v>
      </c>
      <c r="E57" s="44">
        <f>IF('Saisie Bât neuf'!$C$4&gt;799,0.2,IF('Saisie Bât neuf'!$C$4&gt;399,0.1,0))</f>
        <v>0</v>
      </c>
      <c r="F57" s="44">
        <f>IF('Saisie Bât neuf'!$C$5="Non",50*(D57+E57),50*(D57+E57)+12)</f>
        <v>65</v>
      </c>
      <c r="G57" s="44">
        <v>-7</v>
      </c>
      <c r="H57" s="44">
        <f t="shared" si="3"/>
        <v>1</v>
      </c>
      <c r="I57" s="51">
        <f>IF(160*'Saisie Bât neuf'!$C$14/100&lt;80,80,160*'Saisie Bât neuf'!$C$14/100)</f>
        <v>80</v>
      </c>
      <c r="J57" s="51">
        <f>IF((160+124)*'Saisie Bât neuf'!$C$14/100&lt;140,140,(160+124)*'Saisie Bât neuf'!$C$14/100)</f>
        <v>142</v>
      </c>
      <c r="K57" s="51">
        <f>IF(160*'Saisie Bât neuf'!$C$15/100&lt;80,80,160*'Saisie Bât neuf'!$C$15/100)</f>
        <v>80</v>
      </c>
      <c r="L57" s="51">
        <f>IF((160+124)*'Saisie Bât neuf'!$C$15/100&lt;140,140,(160+124)*'Saisie Bât neuf'!$C$15/100)</f>
        <v>140</v>
      </c>
      <c r="M57" s="51">
        <f>IF(160*'Saisie Bât neuf'!$C$16/100&lt;80,80,160*'Saisie Bât neuf'!$C$16/100)</f>
        <v>80</v>
      </c>
      <c r="N57" s="51">
        <f>IF((160+124)*'Saisie Bât neuf'!$C$16/100&lt;140,140,(160+124)*'Saisie Bât neuf'!$C$16/100)</f>
        <v>140</v>
      </c>
      <c r="O57" s="51">
        <f>IF(160*'Saisie Bât neuf'!$C$17/100&lt;80,80,160*'Saisie Bât neuf'!$C$17/100)</f>
        <v>80</v>
      </c>
      <c r="P57" s="51">
        <f>IF((160+124)*'Saisie Bât neuf'!$C$17/100&lt;140,140,(160+124)*'Saisie Bât neuf'!$C$17/100)</f>
        <v>140</v>
      </c>
      <c r="Q57" s="51">
        <f>IF(160*'Saisie Bât neuf'!$C$18/100&lt;80,80,160*'Saisie Bât neuf'!$C$18/100)</f>
        <v>80</v>
      </c>
      <c r="R57" s="51">
        <f>IF((160+124)*'Saisie Bât neuf'!$C$18/100&lt;140,140,(160+124)*'Saisie Bât neuf'!$C$18/100)</f>
        <v>140</v>
      </c>
      <c r="S57" s="52"/>
    </row>
    <row r="58" spans="1:47" x14ac:dyDescent="0.25">
      <c r="A58" s="44" t="s">
        <v>272</v>
      </c>
      <c r="B58" s="44">
        <v>9</v>
      </c>
      <c r="C58" s="44" t="s">
        <v>142</v>
      </c>
      <c r="D58" s="44">
        <f t="shared" si="5"/>
        <v>0.9</v>
      </c>
      <c r="E58" s="44">
        <f>IF('Saisie Bât neuf'!$C$4&gt;799,0.2,IF('Saisie Bât neuf'!$C$4&gt;399,0.1,0))</f>
        <v>0</v>
      </c>
      <c r="F58" s="44">
        <f>IF('Saisie Bât neuf'!$C$5="Non",50*(D58+E58),50*(D58+E58)+12)</f>
        <v>45</v>
      </c>
      <c r="G58" s="44">
        <v>-5</v>
      </c>
      <c r="H58" s="44">
        <f t="shared" si="3"/>
        <v>2</v>
      </c>
      <c r="I58" s="51">
        <f>IF(160*'Saisie Bât neuf'!$C$14/100&lt;80,80,160*'Saisie Bât neuf'!$C$14/100)</f>
        <v>80</v>
      </c>
      <c r="J58" s="51">
        <f>IF((160+124)*'Saisie Bât neuf'!$C$14/100&lt;140,140,(160+124)*'Saisie Bât neuf'!$C$14/100)</f>
        <v>142</v>
      </c>
      <c r="K58" s="51">
        <f>IF(160*'Saisie Bât neuf'!$C$15/100&lt;80,80,160*'Saisie Bât neuf'!$C$15/100)</f>
        <v>80</v>
      </c>
      <c r="L58" s="51">
        <f>IF((160+124)*'Saisie Bât neuf'!$C$15/100&lt;140,140,(160+124)*'Saisie Bât neuf'!$C$15/100)</f>
        <v>140</v>
      </c>
      <c r="M58" s="51">
        <f>IF(160*'Saisie Bât neuf'!$C$16/100&lt;80,80,160*'Saisie Bât neuf'!$C$16/100)</f>
        <v>80</v>
      </c>
      <c r="N58" s="51">
        <f>IF((160+124)*'Saisie Bât neuf'!$C$16/100&lt;140,140,(160+124)*'Saisie Bât neuf'!$C$16/100)</f>
        <v>140</v>
      </c>
      <c r="O58" s="51">
        <f>IF(160*'Saisie Bât neuf'!$C$17/100&lt;80,80,160*'Saisie Bât neuf'!$C$17/100)</f>
        <v>80</v>
      </c>
      <c r="P58" s="51">
        <f>IF((160+124)*'Saisie Bât neuf'!$C$17/100&lt;140,140,(160+124)*'Saisie Bât neuf'!$C$17/100)</f>
        <v>140</v>
      </c>
      <c r="Q58" s="51">
        <f>IF(160*'Saisie Bât neuf'!$C$18/100&lt;80,80,160*'Saisie Bât neuf'!$C$18/100)</f>
        <v>80</v>
      </c>
      <c r="R58" s="51">
        <f>IF((160+124)*'Saisie Bât neuf'!$C$18/100&lt;140,140,(160+124)*'Saisie Bât neuf'!$C$18/100)</f>
        <v>140</v>
      </c>
      <c r="S58" s="52"/>
    </row>
    <row r="59" spans="1:47" x14ac:dyDescent="0.25">
      <c r="A59" s="44" t="s">
        <v>273</v>
      </c>
      <c r="B59" s="44">
        <v>52</v>
      </c>
      <c r="C59" s="44" t="s">
        <v>213</v>
      </c>
      <c r="D59" s="44">
        <f t="shared" si="5"/>
        <v>1.3</v>
      </c>
      <c r="E59" s="44">
        <f>IF('Saisie Bât neuf'!$C$4&gt;799,0.2,IF('Saisie Bât neuf'!$C$4&gt;399,0.1,0))</f>
        <v>0</v>
      </c>
      <c r="F59" s="44">
        <f>IF('Saisie Bât neuf'!$C$5="Non",50*(D59+E59),50*(D59+E59)+12)</f>
        <v>65</v>
      </c>
      <c r="G59" s="44">
        <v>-12</v>
      </c>
      <c r="H59" s="44">
        <f t="shared" si="3"/>
        <v>1</v>
      </c>
      <c r="I59" s="51">
        <f>IF(160*'Saisie Bât neuf'!$C$14/100&lt;80,80,160*'Saisie Bât neuf'!$C$14/100)</f>
        <v>80</v>
      </c>
      <c r="J59" s="51">
        <f>IF((160+124)*'Saisie Bât neuf'!$C$14/100&lt;140,140,(160+124)*'Saisie Bât neuf'!$C$14/100)</f>
        <v>142</v>
      </c>
      <c r="K59" s="51">
        <f>IF(160*'Saisie Bât neuf'!$C$15/100&lt;80,80,160*'Saisie Bât neuf'!$C$15/100)</f>
        <v>80</v>
      </c>
      <c r="L59" s="51">
        <f>IF((160+124)*'Saisie Bât neuf'!$C$15/100&lt;140,140,(160+124)*'Saisie Bât neuf'!$C$15/100)</f>
        <v>140</v>
      </c>
      <c r="M59" s="51">
        <f>IF(160*'Saisie Bât neuf'!$C$16/100&lt;80,80,160*'Saisie Bât neuf'!$C$16/100)</f>
        <v>80</v>
      </c>
      <c r="N59" s="51">
        <f>IF((160+124)*'Saisie Bât neuf'!$C$16/100&lt;140,140,(160+124)*'Saisie Bât neuf'!$C$16/100)</f>
        <v>140</v>
      </c>
      <c r="O59" s="51">
        <f>IF(160*'Saisie Bât neuf'!$C$17/100&lt;80,80,160*'Saisie Bât neuf'!$C$17/100)</f>
        <v>80</v>
      </c>
      <c r="P59" s="51">
        <f>IF((160+124)*'Saisie Bât neuf'!$C$17/100&lt;140,140,(160+124)*'Saisie Bât neuf'!$C$17/100)</f>
        <v>140</v>
      </c>
      <c r="Q59" s="51">
        <f>IF(160*'Saisie Bât neuf'!$C$18/100&lt;80,80,160*'Saisie Bât neuf'!$C$18/100)</f>
        <v>80</v>
      </c>
      <c r="R59" s="51">
        <f>IF((160+124)*'Saisie Bât neuf'!$C$18/100&lt;140,140,(160+124)*'Saisie Bât neuf'!$C$18/100)</f>
        <v>140</v>
      </c>
      <c r="S59" s="52"/>
    </row>
    <row r="60" spans="1:47" x14ac:dyDescent="0.25">
      <c r="A60" s="44" t="s">
        <v>274</v>
      </c>
      <c r="B60" s="44">
        <v>42</v>
      </c>
      <c r="C60" s="44" t="s">
        <v>153</v>
      </c>
      <c r="D60" s="44">
        <f t="shared" si="5"/>
        <v>1.2</v>
      </c>
      <c r="E60" s="44">
        <f>IF('Saisie Bât neuf'!$C$4&gt;799,0.2,IF('Saisie Bât neuf'!$C$4&gt;399,0.1,0))</f>
        <v>0</v>
      </c>
      <c r="F60" s="44">
        <f>IF('Saisie Bât neuf'!$C$5="Non",50*(D60+E60),50*(D60+E60)+12)</f>
        <v>60</v>
      </c>
      <c r="G60" s="44">
        <v>-10</v>
      </c>
      <c r="H60" s="44">
        <f t="shared" si="3"/>
        <v>1</v>
      </c>
      <c r="I60" s="51">
        <f>IF(160*'Saisie Bât neuf'!$C$14/100&lt;80,80,160*'Saisie Bât neuf'!$C$14/100)</f>
        <v>80</v>
      </c>
      <c r="J60" s="51">
        <f>IF((160+124)*'Saisie Bât neuf'!$C$14/100&lt;140,140,(160+124)*'Saisie Bât neuf'!$C$14/100)</f>
        <v>142</v>
      </c>
      <c r="K60" s="51">
        <f>IF(160*'Saisie Bât neuf'!$C$15/100&lt;80,80,160*'Saisie Bât neuf'!$C$15/100)</f>
        <v>80</v>
      </c>
      <c r="L60" s="51">
        <f>IF((160+124)*'Saisie Bât neuf'!$C$15/100&lt;140,140,(160+124)*'Saisie Bât neuf'!$C$15/100)</f>
        <v>140</v>
      </c>
      <c r="M60" s="51">
        <f>IF(160*'Saisie Bât neuf'!$C$16/100&lt;80,80,160*'Saisie Bât neuf'!$C$16/100)</f>
        <v>80</v>
      </c>
      <c r="N60" s="51">
        <f>IF((160+124)*'Saisie Bât neuf'!$C$16/100&lt;140,140,(160+124)*'Saisie Bât neuf'!$C$16/100)</f>
        <v>140</v>
      </c>
      <c r="O60" s="51">
        <f>IF(160*'Saisie Bât neuf'!$C$17/100&lt;80,80,160*'Saisie Bât neuf'!$C$17/100)</f>
        <v>80</v>
      </c>
      <c r="P60" s="51">
        <f>IF((160+124)*'Saisie Bât neuf'!$C$17/100&lt;140,140,(160+124)*'Saisie Bât neuf'!$C$17/100)</f>
        <v>140</v>
      </c>
      <c r="Q60" s="51">
        <f>IF(160*'Saisie Bât neuf'!$C$18/100&lt;80,80,160*'Saisie Bât neuf'!$C$18/100)</f>
        <v>80</v>
      </c>
      <c r="R60" s="51">
        <f>IF((160+124)*'Saisie Bât neuf'!$C$18/100&lt;140,140,(160+124)*'Saisie Bât neuf'!$C$18/100)</f>
        <v>140</v>
      </c>
      <c r="S60" s="52"/>
    </row>
    <row r="61" spans="1:47" x14ac:dyDescent="0.25">
      <c r="A61" s="44" t="s">
        <v>275</v>
      </c>
      <c r="B61" s="44">
        <v>2</v>
      </c>
      <c r="C61" s="44" t="s">
        <v>137</v>
      </c>
      <c r="D61" s="44">
        <f t="shared" si="5"/>
        <v>1.3</v>
      </c>
      <c r="E61" s="44">
        <f>IF('Saisie Bât neuf'!$C$4&gt;799,0.2,IF('Saisie Bât neuf'!$C$4&gt;399,0.1,0))</f>
        <v>0</v>
      </c>
      <c r="F61" s="44">
        <f>IF('Saisie Bât neuf'!$C$5="Non",50*(D61+E61),50*(D61+E61)+12)</f>
        <v>65</v>
      </c>
      <c r="G61" s="44">
        <v>-7</v>
      </c>
      <c r="H61" s="44">
        <f t="shared" si="3"/>
        <v>1</v>
      </c>
      <c r="I61" s="51">
        <f>IF(160*'Saisie Bât neuf'!$C$14/100&lt;80,80,160*'Saisie Bât neuf'!$C$14/100)</f>
        <v>80</v>
      </c>
      <c r="J61" s="51">
        <f>IF((160+124)*'Saisie Bât neuf'!$C$14/100&lt;140,140,(160+124)*'Saisie Bât neuf'!$C$14/100)</f>
        <v>142</v>
      </c>
      <c r="K61" s="51">
        <f>IF(160*'Saisie Bât neuf'!$C$15/100&lt;80,80,160*'Saisie Bât neuf'!$C$15/100)</f>
        <v>80</v>
      </c>
      <c r="L61" s="51">
        <f>IF((160+124)*'Saisie Bât neuf'!$C$15/100&lt;140,140,(160+124)*'Saisie Bât neuf'!$C$15/100)</f>
        <v>140</v>
      </c>
      <c r="M61" s="51">
        <f>IF(160*'Saisie Bât neuf'!$C$16/100&lt;80,80,160*'Saisie Bât neuf'!$C$16/100)</f>
        <v>80</v>
      </c>
      <c r="N61" s="51">
        <f>IF((160+124)*'Saisie Bât neuf'!$C$16/100&lt;140,140,(160+124)*'Saisie Bât neuf'!$C$16/100)</f>
        <v>140</v>
      </c>
      <c r="O61" s="51">
        <f>IF(160*'Saisie Bât neuf'!$C$17/100&lt;80,80,160*'Saisie Bât neuf'!$C$17/100)</f>
        <v>80</v>
      </c>
      <c r="P61" s="51">
        <f>IF((160+124)*'Saisie Bât neuf'!$C$17/100&lt;140,140,(160+124)*'Saisie Bât neuf'!$C$17/100)</f>
        <v>140</v>
      </c>
      <c r="Q61" s="51">
        <f>IF(160*'Saisie Bât neuf'!$C$18/100&lt;80,80,160*'Saisie Bât neuf'!$C$18/100)</f>
        <v>80</v>
      </c>
      <c r="R61" s="51">
        <f>IF((160+124)*'Saisie Bât neuf'!$C$18/100&lt;140,140,(160+124)*'Saisie Bât neuf'!$C$18/100)</f>
        <v>140</v>
      </c>
      <c r="S61" s="52"/>
    </row>
    <row r="62" spans="1:47" x14ac:dyDescent="0.25">
      <c r="A62" s="44" t="s">
        <v>276</v>
      </c>
      <c r="B62" s="44">
        <v>67</v>
      </c>
      <c r="C62" s="44" t="s">
        <v>213</v>
      </c>
      <c r="D62" s="44">
        <f t="shared" si="5"/>
        <v>1.3</v>
      </c>
      <c r="E62" s="44">
        <f>IF('Saisie Bât neuf'!$C$4&gt;799,0.2,IF('Saisie Bât neuf'!$C$4&gt;399,0.1,0))</f>
        <v>0</v>
      </c>
      <c r="F62" s="44">
        <f>IF('Saisie Bât neuf'!$C$5="Non",50*(D62+E62),50*(D62+E62)+12)</f>
        <v>65</v>
      </c>
      <c r="G62" s="44">
        <v>-15</v>
      </c>
      <c r="H62" s="44">
        <f t="shared" si="3"/>
        <v>1</v>
      </c>
      <c r="I62" s="51">
        <f>IF(160*'Saisie Bât neuf'!$C$14/100&lt;80,80,160*'Saisie Bât neuf'!$C$14/100)</f>
        <v>80</v>
      </c>
      <c r="J62" s="51">
        <f>IF((160+124)*'Saisie Bât neuf'!$C$14/100&lt;140,140,(160+124)*'Saisie Bât neuf'!$C$14/100)</f>
        <v>142</v>
      </c>
      <c r="K62" s="51">
        <f>IF(160*'Saisie Bât neuf'!$C$15/100&lt;80,80,160*'Saisie Bât neuf'!$C$15/100)</f>
        <v>80</v>
      </c>
      <c r="L62" s="51">
        <f>IF((160+124)*'Saisie Bât neuf'!$C$15/100&lt;140,140,(160+124)*'Saisie Bât neuf'!$C$15/100)</f>
        <v>140</v>
      </c>
      <c r="M62" s="51">
        <f>IF(160*'Saisie Bât neuf'!$C$16/100&lt;80,80,160*'Saisie Bât neuf'!$C$16/100)</f>
        <v>80</v>
      </c>
      <c r="N62" s="51">
        <f>IF((160+124)*'Saisie Bât neuf'!$C$16/100&lt;140,140,(160+124)*'Saisie Bât neuf'!$C$16/100)</f>
        <v>140</v>
      </c>
      <c r="O62" s="51">
        <f>IF(160*'Saisie Bât neuf'!$C$17/100&lt;80,80,160*'Saisie Bât neuf'!$C$17/100)</f>
        <v>80</v>
      </c>
      <c r="P62" s="51">
        <f>IF((160+124)*'Saisie Bât neuf'!$C$17/100&lt;140,140,(160+124)*'Saisie Bât neuf'!$C$17/100)</f>
        <v>140</v>
      </c>
      <c r="Q62" s="51">
        <f>IF(160*'Saisie Bât neuf'!$C$18/100&lt;80,80,160*'Saisie Bât neuf'!$C$18/100)</f>
        <v>80</v>
      </c>
      <c r="R62" s="51">
        <f>IF((160+124)*'Saisie Bât neuf'!$C$18/100&lt;140,140,(160+124)*'Saisie Bât neuf'!$C$18/100)</f>
        <v>140</v>
      </c>
      <c r="S62" s="52"/>
      <c r="T62" s="52"/>
      <c r="U62" s="52"/>
    </row>
    <row r="63" spans="1:47" x14ac:dyDescent="0.25">
      <c r="A63" s="44" t="s">
        <v>277</v>
      </c>
      <c r="B63" s="44">
        <v>65</v>
      </c>
      <c r="C63" s="44" t="s">
        <v>142</v>
      </c>
      <c r="D63" s="44">
        <f t="shared" si="5"/>
        <v>0.9</v>
      </c>
      <c r="E63" s="44">
        <f>IF('Saisie Bât neuf'!$C$4&gt;799,0.2,IF('Saisie Bât neuf'!$C$4&gt;399,0.1,0))</f>
        <v>0</v>
      </c>
      <c r="F63" s="44">
        <f>IF('Saisie Bât neuf'!$C$5="Non",50*(D63+E63),50*(D63+E63)+12)</f>
        <v>45</v>
      </c>
      <c r="G63" s="44">
        <v>-5</v>
      </c>
      <c r="H63" s="44">
        <f t="shared" si="3"/>
        <v>2</v>
      </c>
      <c r="I63" s="51">
        <f>IF(160*'Saisie Bât neuf'!$C$14/100&lt;80,80,160*'Saisie Bât neuf'!$C$14/100)</f>
        <v>80</v>
      </c>
      <c r="J63" s="51">
        <f>IF((160+124)*'Saisie Bât neuf'!$C$14/100&lt;140,140,(160+124)*'Saisie Bât neuf'!$C$14/100)</f>
        <v>142</v>
      </c>
      <c r="K63" s="51">
        <f>IF(160*'Saisie Bât neuf'!$C$15/100&lt;80,80,160*'Saisie Bât neuf'!$C$15/100)</f>
        <v>80</v>
      </c>
      <c r="L63" s="51">
        <f>IF((160+124)*'Saisie Bât neuf'!$C$15/100&lt;140,140,(160+124)*'Saisie Bât neuf'!$C$15/100)</f>
        <v>140</v>
      </c>
      <c r="M63" s="51">
        <f>IF(160*'Saisie Bât neuf'!$C$16/100&lt;80,80,160*'Saisie Bât neuf'!$C$16/100)</f>
        <v>80</v>
      </c>
      <c r="N63" s="51">
        <f>IF((160+124)*'Saisie Bât neuf'!$C$16/100&lt;140,140,(160+124)*'Saisie Bât neuf'!$C$16/100)</f>
        <v>140</v>
      </c>
      <c r="O63" s="51">
        <f>IF(160*'Saisie Bât neuf'!$C$17/100&lt;80,80,160*'Saisie Bât neuf'!$C$17/100)</f>
        <v>80</v>
      </c>
      <c r="P63" s="51">
        <f>IF((160+124)*'Saisie Bât neuf'!$C$17/100&lt;140,140,(160+124)*'Saisie Bât neuf'!$C$17/100)</f>
        <v>140</v>
      </c>
      <c r="Q63" s="51">
        <f>IF(160*'Saisie Bât neuf'!$C$18/100&lt;80,80,160*'Saisie Bât neuf'!$C$18/100)</f>
        <v>80</v>
      </c>
      <c r="R63" s="51">
        <f>IF((160+124)*'Saisie Bât neuf'!$C$18/100&lt;140,140,(160+124)*'Saisie Bât neuf'!$C$18/100)</f>
        <v>140</v>
      </c>
      <c r="S63" s="52"/>
      <c r="T63" s="52"/>
      <c r="U63" s="52"/>
    </row>
    <row r="64" spans="1:47" x14ac:dyDescent="0.25">
      <c r="A64" s="44" t="s">
        <v>278</v>
      </c>
      <c r="B64" s="44">
        <v>83</v>
      </c>
      <c r="C64" s="44" t="s">
        <v>237</v>
      </c>
      <c r="D64" s="44">
        <f t="shared" si="5"/>
        <v>0.8</v>
      </c>
      <c r="E64" s="44">
        <f>IF('Saisie Bât neuf'!$C$4&gt;799,0.2,IF('Saisie Bât neuf'!$C$4&gt;399,0.1,0))</f>
        <v>0</v>
      </c>
      <c r="F64" s="44">
        <f>IF('Saisie Bât neuf'!$C$5="Non",50*(D64+E64),50*(D64+E64)+12)</f>
        <v>40</v>
      </c>
      <c r="G64" s="44">
        <v>-2</v>
      </c>
      <c r="H64" s="44">
        <f t="shared" si="3"/>
        <v>4</v>
      </c>
      <c r="I64" s="51">
        <f>IF(160*'Saisie Bât neuf'!$C$14/100&lt;80,80,160*'Saisie Bât neuf'!$C$14/100)</f>
        <v>80</v>
      </c>
      <c r="J64" s="51">
        <f>IF((160+124)*'Saisie Bât neuf'!$C$14/100&lt;140,140,(160+124)*'Saisie Bât neuf'!$C$14/100)</f>
        <v>142</v>
      </c>
      <c r="K64" s="51">
        <f>IF(160*'Saisie Bât neuf'!$C$15/100&lt;80,80,160*'Saisie Bât neuf'!$C$15/100)</f>
        <v>80</v>
      </c>
      <c r="L64" s="51">
        <f>IF((160+124)*'Saisie Bât neuf'!$C$15/100&lt;140,140,(160+124)*'Saisie Bât neuf'!$C$15/100)</f>
        <v>140</v>
      </c>
      <c r="M64" s="51">
        <f>IF(160*'Saisie Bât neuf'!$C$16/100&lt;80,80,160*'Saisie Bât neuf'!$C$16/100)</f>
        <v>80</v>
      </c>
      <c r="N64" s="51">
        <f>IF((160+124)*'Saisie Bât neuf'!$C$16/100&lt;140,140,(160+124)*'Saisie Bât neuf'!$C$16/100)</f>
        <v>140</v>
      </c>
      <c r="O64" s="51">
        <f>IF(160*'Saisie Bât neuf'!$C$17/100&lt;80,80,160*'Saisie Bât neuf'!$C$17/100)</f>
        <v>80</v>
      </c>
      <c r="P64" s="51">
        <f>IF((160+124)*'Saisie Bât neuf'!$C$17/100&lt;140,140,(160+124)*'Saisie Bât neuf'!$C$17/100)</f>
        <v>140</v>
      </c>
      <c r="Q64" s="51">
        <f>IF(160*'Saisie Bât neuf'!$C$18/100&lt;80,80,160*'Saisie Bât neuf'!$C$18/100)</f>
        <v>80</v>
      </c>
      <c r="R64" s="51">
        <f>IF((160+124)*'Saisie Bât neuf'!$C$18/100&lt;140,140,(160+124)*'Saisie Bât neuf'!$C$18/100)</f>
        <v>140</v>
      </c>
      <c r="S64" s="52"/>
      <c r="T64" s="52"/>
      <c r="U64" s="52"/>
    </row>
    <row r="65" spans="1:21" x14ac:dyDescent="0.25">
      <c r="A65" s="44" t="s">
        <v>279</v>
      </c>
      <c r="B65" s="44">
        <v>31</v>
      </c>
      <c r="C65" s="44" t="s">
        <v>142</v>
      </c>
      <c r="D65" s="44">
        <f t="shared" si="5"/>
        <v>0.9</v>
      </c>
      <c r="E65" s="44">
        <f>IF('Saisie Bât neuf'!$C$4&gt;799,0.2,IF('Saisie Bât neuf'!$C$4&gt;399,0.1,0))</f>
        <v>0</v>
      </c>
      <c r="F65" s="44">
        <f>IF('Saisie Bât neuf'!$C$5="Non",50*(D65+E65),50*(D65+E65)+12)</f>
        <v>45</v>
      </c>
      <c r="G65" s="44">
        <v>-5</v>
      </c>
      <c r="H65" s="44">
        <f t="shared" si="3"/>
        <v>2</v>
      </c>
      <c r="I65" s="51">
        <f>IF(160*'Saisie Bât neuf'!$C$14/100&lt;80,80,160*'Saisie Bât neuf'!$C$14/100)</f>
        <v>80</v>
      </c>
      <c r="J65" s="51">
        <f>IF((160+124)*'Saisie Bât neuf'!$C$14/100&lt;140,140,(160+124)*'Saisie Bât neuf'!$C$14/100)</f>
        <v>142</v>
      </c>
      <c r="K65" s="51">
        <f>IF(160*'Saisie Bât neuf'!$C$15/100&lt;80,80,160*'Saisie Bât neuf'!$C$15/100)</f>
        <v>80</v>
      </c>
      <c r="L65" s="51">
        <f>IF((160+124)*'Saisie Bât neuf'!$C$15/100&lt;140,140,(160+124)*'Saisie Bât neuf'!$C$15/100)</f>
        <v>140</v>
      </c>
      <c r="M65" s="51">
        <f>IF(160*'Saisie Bât neuf'!$C$16/100&lt;80,80,160*'Saisie Bât neuf'!$C$16/100)</f>
        <v>80</v>
      </c>
      <c r="N65" s="51">
        <f>IF((160+124)*'Saisie Bât neuf'!$C$16/100&lt;140,140,(160+124)*'Saisie Bât neuf'!$C$16/100)</f>
        <v>140</v>
      </c>
      <c r="O65" s="51">
        <f>IF(160*'Saisie Bât neuf'!$C$17/100&lt;80,80,160*'Saisie Bât neuf'!$C$17/100)</f>
        <v>80</v>
      </c>
      <c r="P65" s="51">
        <f>IF((160+124)*'Saisie Bât neuf'!$C$17/100&lt;140,140,(160+124)*'Saisie Bât neuf'!$C$17/100)</f>
        <v>140</v>
      </c>
      <c r="Q65" s="51">
        <f>IF(160*'Saisie Bât neuf'!$C$18/100&lt;80,80,160*'Saisie Bât neuf'!$C$18/100)</f>
        <v>80</v>
      </c>
      <c r="R65" s="51">
        <f>IF((160+124)*'Saisie Bât neuf'!$C$18/100&lt;140,140,(160+124)*'Saisie Bât neuf'!$C$18/100)</f>
        <v>140</v>
      </c>
      <c r="S65" s="52"/>
      <c r="T65" s="52"/>
      <c r="U65" s="52"/>
    </row>
    <row r="66" spans="1:21" x14ac:dyDescent="0.25">
      <c r="A66" s="44" t="s">
        <v>280</v>
      </c>
      <c r="B66" s="44">
        <v>37</v>
      </c>
      <c r="C66" s="44" t="s">
        <v>158</v>
      </c>
      <c r="D66" s="44">
        <f t="shared" si="5"/>
        <v>1</v>
      </c>
      <c r="E66" s="44">
        <f>IF('Saisie Bât neuf'!$C$4&gt;799,0.2,IF('Saisie Bât neuf'!$C$4&gt;399,0.1,0))</f>
        <v>0</v>
      </c>
      <c r="F66" s="44">
        <f>IF('Saisie Bât neuf'!$C$5="Non",50*(D66+E66),50*(D66+E66)+12)</f>
        <v>50</v>
      </c>
      <c r="G66" s="44">
        <v>-7</v>
      </c>
      <c r="H66" s="44">
        <f t="shared" si="3"/>
        <v>2</v>
      </c>
      <c r="I66" s="51">
        <f>IF(160*'Saisie Bât neuf'!$C$14/100&lt;80,80,160*'Saisie Bât neuf'!$C$14/100)</f>
        <v>80</v>
      </c>
      <c r="J66" s="51">
        <f>IF((160+124)*'Saisie Bât neuf'!$C$14/100&lt;140,140,(160+124)*'Saisie Bât neuf'!$C$14/100)</f>
        <v>142</v>
      </c>
      <c r="K66" s="51">
        <f>IF(160*'Saisie Bât neuf'!$C$15/100&lt;80,80,160*'Saisie Bât neuf'!$C$15/100)</f>
        <v>80</v>
      </c>
      <c r="L66" s="51">
        <f>IF((160+124)*'Saisie Bât neuf'!$C$15/100&lt;140,140,(160+124)*'Saisie Bât neuf'!$C$15/100)</f>
        <v>140</v>
      </c>
      <c r="M66" s="51">
        <f>IF(160*'Saisie Bât neuf'!$C$16/100&lt;80,80,160*'Saisie Bât neuf'!$C$16/100)</f>
        <v>80</v>
      </c>
      <c r="N66" s="51">
        <f>IF((160+124)*'Saisie Bât neuf'!$C$16/100&lt;140,140,(160+124)*'Saisie Bât neuf'!$C$16/100)</f>
        <v>140</v>
      </c>
      <c r="O66" s="51">
        <f>IF(160*'Saisie Bât neuf'!$C$17/100&lt;80,80,160*'Saisie Bât neuf'!$C$17/100)</f>
        <v>80</v>
      </c>
      <c r="P66" s="51">
        <f>IF((160+124)*'Saisie Bât neuf'!$C$17/100&lt;140,140,(160+124)*'Saisie Bât neuf'!$C$17/100)</f>
        <v>140</v>
      </c>
      <c r="Q66" s="51">
        <f>IF(160*'Saisie Bât neuf'!$C$18/100&lt;80,80,160*'Saisie Bât neuf'!$C$18/100)</f>
        <v>80</v>
      </c>
      <c r="R66" s="51">
        <f>IF((160+124)*'Saisie Bât neuf'!$C$18/100&lt;140,140,(160+124)*'Saisie Bât neuf'!$C$18/100)</f>
        <v>140</v>
      </c>
      <c r="S66" s="52"/>
      <c r="T66" s="52"/>
      <c r="U66" s="52"/>
    </row>
    <row r="67" spans="1:21" x14ac:dyDescent="0.25">
      <c r="A67" s="44" t="s">
        <v>281</v>
      </c>
      <c r="B67" s="44">
        <v>78</v>
      </c>
      <c r="C67" s="44" t="s">
        <v>137</v>
      </c>
      <c r="D67" s="44">
        <f t="shared" si="5"/>
        <v>1.3</v>
      </c>
      <c r="E67" s="44">
        <f>IF('Saisie Bât neuf'!$C$4&gt;799,0.2,IF('Saisie Bât neuf'!$C$4&gt;399,0.1,0))</f>
        <v>0</v>
      </c>
      <c r="F67" s="44">
        <f>IF('Saisie Bât neuf'!$C$5="Non",50*(D67+E67),50*(D67+E67)+12)</f>
        <v>65</v>
      </c>
      <c r="G67" s="44">
        <v>-7</v>
      </c>
      <c r="H67" s="44">
        <f t="shared" si="3"/>
        <v>1</v>
      </c>
      <c r="I67" s="51">
        <f>IF(160*'Saisie Bât neuf'!$C$14/100&lt;80,80,160*'Saisie Bât neuf'!$C$14/100)</f>
        <v>80</v>
      </c>
      <c r="J67" s="51">
        <f>IF((160+124)*'Saisie Bât neuf'!$C$14/100&lt;140,140,(160+124)*'Saisie Bât neuf'!$C$14/100)</f>
        <v>142</v>
      </c>
      <c r="K67" s="51">
        <f>IF(160*'Saisie Bât neuf'!$C$15/100&lt;80,80,160*'Saisie Bât neuf'!$C$15/100)</f>
        <v>80</v>
      </c>
      <c r="L67" s="51">
        <f>IF((160+124)*'Saisie Bât neuf'!$C$15/100&lt;140,140,(160+124)*'Saisie Bât neuf'!$C$15/100)</f>
        <v>140</v>
      </c>
      <c r="M67" s="51">
        <f>IF(160*'Saisie Bât neuf'!$C$16/100&lt;80,80,160*'Saisie Bât neuf'!$C$16/100)</f>
        <v>80</v>
      </c>
      <c r="N67" s="51">
        <f>IF((160+124)*'Saisie Bât neuf'!$C$16/100&lt;140,140,(160+124)*'Saisie Bât neuf'!$C$16/100)</f>
        <v>140</v>
      </c>
      <c r="O67" s="51">
        <f>IF(160*'Saisie Bât neuf'!$C$17/100&lt;80,80,160*'Saisie Bât neuf'!$C$17/100)</f>
        <v>80</v>
      </c>
      <c r="P67" s="51">
        <f>IF((160+124)*'Saisie Bât neuf'!$C$17/100&lt;140,140,(160+124)*'Saisie Bât neuf'!$C$17/100)</f>
        <v>140</v>
      </c>
      <c r="Q67" s="51">
        <f>IF(160*'Saisie Bât neuf'!$C$18/100&lt;80,80,160*'Saisie Bât neuf'!$C$18/100)</f>
        <v>80</v>
      </c>
      <c r="R67" s="51">
        <f>IF((160+124)*'Saisie Bât neuf'!$C$18/100&lt;140,140,(160+124)*'Saisie Bât neuf'!$C$18/100)</f>
        <v>140</v>
      </c>
      <c r="S67" s="52"/>
      <c r="T67" s="52"/>
      <c r="U67" s="52"/>
    </row>
    <row r="69" spans="1:21" x14ac:dyDescent="0.25">
      <c r="F69" s="43" t="s">
        <v>282</v>
      </c>
      <c r="K69" s="43" t="s">
        <v>283</v>
      </c>
      <c r="L69" s="43" t="s">
        <v>284</v>
      </c>
      <c r="M69" s="43" t="s">
        <v>285</v>
      </c>
      <c r="N69" s="43" t="s">
        <v>286</v>
      </c>
      <c r="O69" s="43" t="s">
        <v>287</v>
      </c>
    </row>
    <row r="70" spans="1:21" x14ac:dyDescent="0.25">
      <c r="F70" s="88" t="s">
        <v>105</v>
      </c>
      <c r="G70" s="88"/>
      <c r="H70" s="88"/>
      <c r="I70" s="88" t="s">
        <v>288</v>
      </c>
      <c r="J70" s="88" t="s">
        <v>289</v>
      </c>
      <c r="K70" s="43">
        <f>'Saisie Bât neuf'!C14</f>
        <v>50</v>
      </c>
      <c r="L70" s="43">
        <f>'Saisie Bât neuf'!C15</f>
        <v>0</v>
      </c>
      <c r="M70" s="43">
        <f>'Saisie Bât neuf'!C16</f>
        <v>0</v>
      </c>
      <c r="N70" s="43">
        <f>'Saisie Bât neuf'!C17</f>
        <v>0</v>
      </c>
      <c r="O70" s="43">
        <f>'Saisie Bât neuf'!C18</f>
        <v>0</v>
      </c>
    </row>
    <row r="71" spans="1:21" x14ac:dyDescent="0.25">
      <c r="F71" s="43">
        <v>0.8</v>
      </c>
      <c r="I71" s="43">
        <v>0.28000000000000003</v>
      </c>
      <c r="J71" s="43">
        <v>21</v>
      </c>
      <c r="K71" s="89">
        <v>0.4</v>
      </c>
      <c r="L71" s="89">
        <v>0.4</v>
      </c>
      <c r="M71" s="89">
        <v>0.4</v>
      </c>
      <c r="N71" s="89">
        <v>0.4</v>
      </c>
      <c r="O71" s="89">
        <v>0.4</v>
      </c>
      <c r="P71" s="43" t="s">
        <v>290</v>
      </c>
    </row>
    <row r="72" spans="1:21" x14ac:dyDescent="0.25">
      <c r="F72" s="43">
        <v>0.9</v>
      </c>
      <c r="I72" s="43">
        <f>I71-0.008</f>
        <v>0.27200000000000002</v>
      </c>
      <c r="J72" s="43">
        <f>J71-1.6</f>
        <v>19.399999999999999</v>
      </c>
      <c r="K72" s="89">
        <v>0.4</v>
      </c>
      <c r="L72" s="89">
        <v>0.4</v>
      </c>
      <c r="M72" s="89">
        <v>0.4</v>
      </c>
      <c r="N72" s="89">
        <v>0.4</v>
      </c>
      <c r="O72" s="89">
        <v>0.4</v>
      </c>
    </row>
    <row r="73" spans="1:21" x14ac:dyDescent="0.25">
      <c r="F73" s="43">
        <v>1</v>
      </c>
      <c r="I73" s="43">
        <f>I72-0.008</f>
        <v>0.26400000000000001</v>
      </c>
      <c r="J73" s="43">
        <f>J72-1.6</f>
        <v>17.799999999999997</v>
      </c>
      <c r="K73" s="89">
        <v>0.4</v>
      </c>
      <c r="L73" s="89">
        <v>0.4</v>
      </c>
      <c r="M73" s="89">
        <v>0.4</v>
      </c>
      <c r="N73" s="89">
        <v>0.4</v>
      </c>
      <c r="O73" s="89">
        <v>0.4</v>
      </c>
    </row>
    <row r="74" spans="1:21" x14ac:dyDescent="0.25">
      <c r="F74" s="43">
        <v>1.1000000000000001</v>
      </c>
      <c r="I74" s="43">
        <f>I73-0.008</f>
        <v>0.25600000000000001</v>
      </c>
      <c r="J74" s="43">
        <f>J73-1.6</f>
        <v>16.199999999999996</v>
      </c>
      <c r="K74" s="89">
        <v>0.4</v>
      </c>
      <c r="L74" s="89">
        <v>0.4</v>
      </c>
      <c r="M74" s="89">
        <v>0.4</v>
      </c>
      <c r="N74" s="89">
        <v>0.4</v>
      </c>
      <c r="O74" s="89">
        <v>0.4</v>
      </c>
    </row>
    <row r="75" spans="1:21" x14ac:dyDescent="0.25">
      <c r="F75" s="43">
        <v>1.2</v>
      </c>
      <c r="I75" s="43">
        <f>I74-0.008</f>
        <v>0.248</v>
      </c>
      <c r="J75" s="43">
        <f>J74-1.6</f>
        <v>14.599999999999996</v>
      </c>
      <c r="K75" s="89">
        <v>0.4</v>
      </c>
      <c r="L75" s="89">
        <v>0.4</v>
      </c>
      <c r="M75" s="89">
        <v>0.4</v>
      </c>
      <c r="N75" s="89">
        <v>0.4</v>
      </c>
      <c r="O75" s="89">
        <v>0.4</v>
      </c>
    </row>
    <row r="76" spans="1:21" x14ac:dyDescent="0.25">
      <c r="F76" s="43">
        <v>1.3</v>
      </c>
      <c r="I76" s="43">
        <f>I75-0.008</f>
        <v>0.24</v>
      </c>
      <c r="J76" s="43">
        <f>J75-1.6</f>
        <v>12.999999999999996</v>
      </c>
      <c r="K76" s="89">
        <v>0.4</v>
      </c>
      <c r="L76" s="89">
        <v>0.4</v>
      </c>
      <c r="M76" s="89">
        <v>0.4</v>
      </c>
      <c r="N76" s="89">
        <v>0.4</v>
      </c>
      <c r="O76" s="89">
        <v>0.4</v>
      </c>
    </row>
  </sheetData>
  <mergeCells count="51">
    <mergeCell ref="F2:F5"/>
    <mergeCell ref="W2:X2"/>
    <mergeCell ref="I4:J4"/>
    <mergeCell ref="K4:L4"/>
    <mergeCell ref="M4:N4"/>
    <mergeCell ref="O4:P4"/>
    <mergeCell ref="Q4:R4"/>
    <mergeCell ref="H2:H5"/>
    <mergeCell ref="A2:A5"/>
    <mergeCell ref="B2:B5"/>
    <mergeCell ref="C2:C5"/>
    <mergeCell ref="D2:D5"/>
    <mergeCell ref="E2:E5"/>
    <mergeCell ref="BK8:BL8"/>
    <mergeCell ref="AQ4:AS4"/>
    <mergeCell ref="W5:X5"/>
    <mergeCell ref="W6:X6"/>
    <mergeCell ref="W7:X7"/>
    <mergeCell ref="W8:X8"/>
    <mergeCell ref="AD1:AD4"/>
    <mergeCell ref="AF1:AF4"/>
    <mergeCell ref="AH1:AH4"/>
    <mergeCell ref="Y1:Y4"/>
    <mergeCell ref="Z1:Z4"/>
    <mergeCell ref="AA1:AA4"/>
    <mergeCell ref="AB1:AB4"/>
    <mergeCell ref="AC1:AC4"/>
    <mergeCell ref="AK1:AK4"/>
    <mergeCell ref="AL1:AL4"/>
    <mergeCell ref="BK19:BL19"/>
    <mergeCell ref="BC30:BD30"/>
    <mergeCell ref="BE30:BF30"/>
    <mergeCell ref="BG30:BH30"/>
    <mergeCell ref="BI30:BJ30"/>
    <mergeCell ref="BK30:BL30"/>
    <mergeCell ref="BC19:BD19"/>
    <mergeCell ref="BE19:BF19"/>
    <mergeCell ref="BG19:BH19"/>
    <mergeCell ref="AT36:AX36"/>
    <mergeCell ref="G2:G5"/>
    <mergeCell ref="AG1:AG4"/>
    <mergeCell ref="AE1:AE4"/>
    <mergeCell ref="BI19:BJ19"/>
    <mergeCell ref="AQ13:AS13"/>
    <mergeCell ref="W9:X9"/>
    <mergeCell ref="BC8:BD8"/>
    <mergeCell ref="BE8:BF8"/>
    <mergeCell ref="BG8:BH8"/>
    <mergeCell ref="BI8:BJ8"/>
    <mergeCell ref="AI1:AI4"/>
    <mergeCell ref="AJ1:AJ4"/>
  </mergeCells>
  <conditionalFormatting sqref="BB27">
    <cfRule type="expression" dxfId="0" priority="2">
      <formula>#REF!=$BU$26</formula>
    </cfRule>
  </conditionalFormatting>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12"/>
  <sheetViews>
    <sheetView zoomScaleNormal="100" workbookViewId="0">
      <selection activeCell="H25" sqref="H25"/>
    </sheetView>
  </sheetViews>
  <sheetFormatPr baseColWidth="10" defaultColWidth="9.140625" defaultRowHeight="15" x14ac:dyDescent="0.25"/>
  <cols>
    <col min="1" max="1" width="13" style="31" customWidth="1"/>
    <col min="2" max="1025" width="11.42578125" style="31"/>
  </cols>
  <sheetData>
    <row r="1" spans="1:5" x14ac:dyDescent="0.25">
      <c r="A1" s="31" t="s">
        <v>294</v>
      </c>
    </row>
    <row r="2" spans="1:5" x14ac:dyDescent="0.25">
      <c r="A2" s="31" t="s">
        <v>295</v>
      </c>
    </row>
    <row r="3" spans="1:5" x14ac:dyDescent="0.25">
      <c r="A3" s="90" t="s">
        <v>296</v>
      </c>
    </row>
    <row r="4" spans="1:5" x14ac:dyDescent="0.25">
      <c r="A4" s="90"/>
    </row>
    <row r="6" spans="1:5" x14ac:dyDescent="0.25">
      <c r="B6" s="221" t="s">
        <v>427</v>
      </c>
      <c r="C6" s="221"/>
      <c r="D6" s="221"/>
      <c r="E6" s="221"/>
    </row>
    <row r="7" spans="1:5" x14ac:dyDescent="0.25">
      <c r="A7" s="91" t="s">
        <v>297</v>
      </c>
      <c r="B7" s="92">
        <v>5700</v>
      </c>
      <c r="C7" s="92">
        <v>6800</v>
      </c>
      <c r="D7" s="92">
        <v>7850</v>
      </c>
      <c r="E7" s="92">
        <v>11000</v>
      </c>
    </row>
    <row r="8" spans="1:5" x14ac:dyDescent="0.25">
      <c r="A8" s="91" t="s">
        <v>298</v>
      </c>
      <c r="B8" s="92">
        <v>194</v>
      </c>
      <c r="C8" s="92">
        <v>146</v>
      </c>
      <c r="D8" s="92">
        <v>98</v>
      </c>
      <c r="E8" s="92">
        <v>48</v>
      </c>
    </row>
    <row r="9" spans="1:5" x14ac:dyDescent="0.25">
      <c r="A9" s="91" t="s">
        <v>299</v>
      </c>
      <c r="B9" s="92">
        <v>240</v>
      </c>
      <c r="C9" s="92">
        <v>176</v>
      </c>
      <c r="D9" s="92">
        <v>113</v>
      </c>
      <c r="E9" s="92">
        <v>63</v>
      </c>
    </row>
    <row r="10" spans="1:5" x14ac:dyDescent="0.25">
      <c r="A10" s="91" t="s">
        <v>300</v>
      </c>
      <c r="B10" s="92">
        <v>277</v>
      </c>
      <c r="C10" s="92">
        <v>202</v>
      </c>
      <c r="D10" s="92">
        <v>126</v>
      </c>
      <c r="E10" s="92">
        <v>76</v>
      </c>
    </row>
    <row r="12" spans="1:5" x14ac:dyDescent="0.25">
      <c r="A12" s="31" t="s">
        <v>301</v>
      </c>
    </row>
  </sheetData>
  <mergeCells count="1">
    <mergeCell ref="B6:E6"/>
  </mergeCells>
  <hyperlinks>
    <hyperlink ref="A3" r:id="rId1" xr:uid="{00000000-0004-0000-0400-000000000000}"/>
  </hyperlink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0"/>
  <sheetViews>
    <sheetView zoomScaleNormal="100" workbookViewId="0">
      <selection activeCell="A3" sqref="A3"/>
    </sheetView>
  </sheetViews>
  <sheetFormatPr baseColWidth="10" defaultColWidth="9.140625" defaultRowHeight="15" x14ac:dyDescent="0.25"/>
  <cols>
    <col min="1" max="1" width="18.5703125" customWidth="1"/>
    <col min="2" max="1025" width="10.7109375" customWidth="1"/>
  </cols>
  <sheetData>
    <row r="1" spans="1:10" x14ac:dyDescent="0.25">
      <c r="A1" s="52" t="s">
        <v>302</v>
      </c>
      <c r="B1" s="52" t="s">
        <v>303</v>
      </c>
      <c r="C1" s="43"/>
      <c r="D1" s="43"/>
      <c r="E1" s="43" t="s">
        <v>38</v>
      </c>
      <c r="F1" s="43"/>
      <c r="G1" s="43"/>
      <c r="H1" s="93" t="s">
        <v>304</v>
      </c>
      <c r="I1" s="43"/>
      <c r="J1" s="43"/>
    </row>
    <row r="2" spans="1:10" x14ac:dyDescent="0.25">
      <c r="A2" s="43"/>
      <c r="B2" s="43" t="s">
        <v>305</v>
      </c>
      <c r="C2" s="43" t="s">
        <v>306</v>
      </c>
      <c r="D2" s="43"/>
      <c r="E2" s="44" t="s">
        <v>307</v>
      </c>
      <c r="F2" s="44">
        <v>0</v>
      </c>
      <c r="G2" s="44">
        <v>1</v>
      </c>
      <c r="H2" s="44">
        <v>2</v>
      </c>
      <c r="I2" s="44">
        <v>3</v>
      </c>
      <c r="J2" s="44" t="s">
        <v>308</v>
      </c>
    </row>
    <row r="3" spans="1:10" x14ac:dyDescent="0.25">
      <c r="A3" s="43" t="s">
        <v>309</v>
      </c>
      <c r="B3" s="83">
        <v>0</v>
      </c>
      <c r="C3" s="83"/>
      <c r="D3" s="43"/>
      <c r="E3" s="44" t="s">
        <v>310</v>
      </c>
      <c r="F3" s="44">
        <v>559.74</v>
      </c>
      <c r="G3" s="44">
        <v>839.62</v>
      </c>
      <c r="H3" s="44">
        <v>1007.55</v>
      </c>
      <c r="I3" s="44">
        <v>1231.44</v>
      </c>
      <c r="J3" s="44">
        <v>223.89</v>
      </c>
    </row>
    <row r="4" spans="1:10" x14ac:dyDescent="0.25">
      <c r="A4" s="43" t="s">
        <v>38</v>
      </c>
      <c r="B4" s="94">
        <f>IF(AND('Saisie Bât neuf'!T14&lt;&gt;"RSA socle",'Saisie Bât neuf'!S14="RSA socle"),IF(('Saisie Bât neuf'!K14+'Saisie Bât neuf'!L14)&gt;4,Ressources!I3+Ressources!J3*(('Saisie Bât neuf'!K14+'Saisie Bât neuf'!L14)-4),IF(('Saisie Bât neuf'!K14+'Saisie Bât neuf'!L14)=1,Ressources!F3,IF(('Saisie Bât neuf'!K14+'Saisie Bât neuf'!L14)=2,Ressources!G3,IF(('Saisie Bât neuf'!K14+'Saisie Bât neuf'!L14)=3,Ressources!H3,IF(('Saisie Bât neuf'!K14+'Saisie Bât neuf'!L14)=4,Ressources!I3,0))))),0)</f>
        <v>1007.55</v>
      </c>
      <c r="C4" s="94" t="b">
        <f>IF(AND('Saisie Bât neuf'!T14="RSA socle",'Saisie Bât neuf'!S14="RSA socle"),IF(('Saisie Bât neuf'!K14+'Saisie Bât neuf'!L14)&gt;5,Ressources!I4+Ressources!J4*(('Saisie Bât neuf'!K14+'Saisie Bât neuf'!L14)-5),IF(('Saisie Bât neuf'!K14+'Saisie Bât neuf'!L14)=2,Ressources!F4,IF(('Saisie Bât neuf'!K14+'Saisie Bât neuf'!L14)=3,Ressources!G4,IF(('Saisie Bât neuf'!K14+'Saisie Bât neuf'!L14)=4,Ressources!H4,IF(('Saisie Bât neuf'!K14+'Saisie Bât neuf'!L14)=5,Ressources!I4,0))))), IF(AND('Saisie Bât neuf'!T14="RSA socle",'Saisie Bât neuf'!S14&lt;&gt;"RSA socle"),IF(('Saisie Bât neuf'!K14+'Saisie Bât neuf'!L14)&gt;4,Ressources!I3+Ressources!J3*(('Saisie Bât neuf'!K14+'Saisie Bât neuf'!L14)-4),IF(('Saisie Bât neuf'!K14+'Saisie Bât neuf'!L14)=1,Ressources!F3,IF(('Saisie Bât neuf'!K14+'Saisie Bât neuf'!L14)=2,Ressources!G3,IF(('Saisie Bât neuf'!K14+'Saisie Bât neuf'!L14)=3,Ressources!H3,IF(('Saisie Bât neuf'!K14+'Saisie Bât neuf'!L14)=4,Ressources!I3,0)))))))</f>
        <v>0</v>
      </c>
      <c r="D4" s="43"/>
      <c r="E4" s="44" t="s">
        <v>311</v>
      </c>
      <c r="F4" s="44">
        <v>839.62</v>
      </c>
      <c r="G4" s="44">
        <v>1007.55</v>
      </c>
      <c r="H4" s="44">
        <v>1175.47</v>
      </c>
      <c r="I4" s="44">
        <v>1399.36</v>
      </c>
      <c r="J4" s="44">
        <v>223.89</v>
      </c>
    </row>
    <row r="5" spans="1:10" x14ac:dyDescent="0.25">
      <c r="A5" s="43" t="s">
        <v>312</v>
      </c>
      <c r="B5" s="94">
        <f>IF('Saisie Bât neuf'!K14+'Saisie Bât neuf'!L14=1,Ressources!$F$8,IF('Saisie Bât neuf'!K14+'Saisie Bât neuf'!L14=2,Ressources!$G$8,IF('Saisie Bât neuf'!K14+'Saisie Bât neuf'!L14=3,Ressources!$H$8,IF('Saisie Bât neuf'!K14+'Saisie Bât neuf'!L14&gt;3,$H$8+('Saisie Bât neuf'!K14+'Saisie Bât neuf'!L14-3)*Ressources!$I$8,0))))</f>
        <v>1197.97</v>
      </c>
      <c r="C5" s="94" t="s">
        <v>313</v>
      </c>
      <c r="D5" s="43"/>
      <c r="E5" s="43"/>
      <c r="F5" s="43"/>
      <c r="G5" s="43"/>
      <c r="H5" s="43"/>
      <c r="I5" s="43"/>
      <c r="J5" s="43"/>
    </row>
    <row r="6" spans="1:10" x14ac:dyDescent="0.25">
      <c r="A6" s="43" t="s">
        <v>314</v>
      </c>
      <c r="B6" s="83">
        <f>F20</f>
        <v>902.7</v>
      </c>
      <c r="C6" s="83"/>
      <c r="D6" s="43"/>
      <c r="E6" s="43" t="s">
        <v>312</v>
      </c>
      <c r="F6" s="43"/>
      <c r="G6" s="43"/>
      <c r="H6" s="43"/>
      <c r="I6" s="43"/>
      <c r="J6" s="43"/>
    </row>
    <row r="7" spans="1:10" x14ac:dyDescent="0.25">
      <c r="A7" s="95" t="s">
        <v>315</v>
      </c>
      <c r="B7" s="83">
        <f>F16</f>
        <v>903.2</v>
      </c>
      <c r="C7" s="83"/>
      <c r="D7" s="43"/>
      <c r="E7" s="44" t="s">
        <v>307</v>
      </c>
      <c r="F7" s="44">
        <v>0</v>
      </c>
      <c r="G7" s="44">
        <v>1</v>
      </c>
      <c r="H7" s="44">
        <v>2</v>
      </c>
      <c r="I7" s="44" t="s">
        <v>316</v>
      </c>
      <c r="J7" s="43"/>
    </row>
    <row r="8" spans="1:10" ht="30" x14ac:dyDescent="0.25">
      <c r="A8" s="95" t="s">
        <v>317</v>
      </c>
      <c r="B8" s="83">
        <v>1227.3900000000001</v>
      </c>
      <c r="C8" s="83"/>
      <c r="D8" s="43"/>
      <c r="E8" s="44" t="s">
        <v>318</v>
      </c>
      <c r="F8" s="44">
        <v>718.78</v>
      </c>
      <c r="G8" s="44">
        <v>958.37</v>
      </c>
      <c r="H8" s="44">
        <v>1197.97</v>
      </c>
      <c r="I8" s="44">
        <v>239.59</v>
      </c>
      <c r="J8" s="43"/>
    </row>
    <row r="9" spans="1:10" ht="30" x14ac:dyDescent="0.25">
      <c r="A9" s="95" t="s">
        <v>319</v>
      </c>
      <c r="B9" s="83">
        <v>300</v>
      </c>
      <c r="C9" s="83"/>
      <c r="D9" s="43"/>
      <c r="E9" s="43"/>
      <c r="F9" s="43"/>
      <c r="G9" s="43"/>
      <c r="H9" s="43"/>
      <c r="I9" s="43"/>
      <c r="J9" s="43"/>
    </row>
    <row r="10" spans="1:10" ht="30" x14ac:dyDescent="0.25">
      <c r="A10" s="95" t="s">
        <v>320</v>
      </c>
      <c r="B10" s="83">
        <v>650</v>
      </c>
      <c r="C10" s="83"/>
      <c r="D10" s="43"/>
      <c r="E10" s="43" t="s">
        <v>321</v>
      </c>
      <c r="F10" s="43"/>
      <c r="G10" s="43"/>
      <c r="H10" s="43" t="s">
        <v>322</v>
      </c>
      <c r="I10" s="43"/>
      <c r="J10" s="43"/>
    </row>
    <row r="11" spans="1:10" ht="30" x14ac:dyDescent="0.25">
      <c r="A11" s="95" t="s">
        <v>323</v>
      </c>
      <c r="B11" s="83">
        <v>900</v>
      </c>
      <c r="C11" s="83"/>
      <c r="D11" s="43"/>
      <c r="E11" s="44" t="s">
        <v>307</v>
      </c>
      <c r="F11" s="44">
        <v>2</v>
      </c>
      <c r="G11" s="44">
        <v>3</v>
      </c>
      <c r="H11" s="44">
        <v>4</v>
      </c>
      <c r="I11" s="44" t="s">
        <v>324</v>
      </c>
      <c r="J11" s="93" t="s">
        <v>325</v>
      </c>
    </row>
    <row r="12" spans="1:10" x14ac:dyDescent="0.25">
      <c r="A12" s="52"/>
      <c r="B12" s="52"/>
      <c r="C12" s="43"/>
      <c r="D12" s="43"/>
      <c r="E12" s="44" t="s">
        <v>326</v>
      </c>
      <c r="F12" s="44">
        <v>131.55000000000001</v>
      </c>
      <c r="G12" s="44">
        <v>300.10000000000002</v>
      </c>
      <c r="H12" s="44">
        <v>468.66</v>
      </c>
      <c r="I12" s="44">
        <v>168.56</v>
      </c>
      <c r="J12" s="43"/>
    </row>
    <row r="13" spans="1:10" x14ac:dyDescent="0.25">
      <c r="A13" s="52"/>
      <c r="B13" s="52"/>
      <c r="C13" s="43"/>
      <c r="D13" s="43"/>
      <c r="E13" s="44" t="s">
        <v>327</v>
      </c>
      <c r="F13" s="44">
        <v>65.78</v>
      </c>
      <c r="G13" s="44">
        <v>65.78</v>
      </c>
      <c r="H13" s="44">
        <v>65.78</v>
      </c>
      <c r="I13" s="44">
        <v>65.78</v>
      </c>
      <c r="J13" s="43"/>
    </row>
    <row r="14" spans="1:10" x14ac:dyDescent="0.25">
      <c r="A14" s="52"/>
      <c r="B14" s="52"/>
      <c r="C14" s="43"/>
      <c r="D14" s="43"/>
      <c r="E14" s="43"/>
      <c r="F14" s="43"/>
      <c r="G14" s="43"/>
      <c r="H14" s="43"/>
      <c r="I14" s="43"/>
      <c r="J14" s="43"/>
    </row>
    <row r="15" spans="1:10" x14ac:dyDescent="0.25">
      <c r="A15" s="52"/>
      <c r="B15" s="52"/>
      <c r="C15" s="43"/>
      <c r="D15" s="43"/>
      <c r="E15" s="43" t="s">
        <v>315</v>
      </c>
      <c r="F15" s="43"/>
      <c r="G15" s="43"/>
      <c r="H15" s="43"/>
      <c r="I15" s="43"/>
      <c r="J15" s="43"/>
    </row>
    <row r="16" spans="1:10" x14ac:dyDescent="0.25">
      <c r="A16" s="52"/>
      <c r="B16" s="52"/>
      <c r="C16" s="43"/>
      <c r="D16" s="43"/>
      <c r="E16" s="44" t="s">
        <v>328</v>
      </c>
      <c r="F16" s="44">
        <v>903.2</v>
      </c>
      <c r="G16" s="93" t="s">
        <v>329</v>
      </c>
      <c r="H16" s="43"/>
      <c r="I16" s="43"/>
      <c r="J16" s="43"/>
    </row>
    <row r="17" spans="1:10" x14ac:dyDescent="0.25">
      <c r="A17" s="52"/>
      <c r="B17" s="52"/>
      <c r="C17" s="43"/>
      <c r="D17" s="43"/>
      <c r="E17" s="44" t="s">
        <v>330</v>
      </c>
      <c r="F17" s="44">
        <v>1402.22</v>
      </c>
      <c r="G17" s="43"/>
      <c r="H17" s="43"/>
      <c r="I17" s="43"/>
      <c r="J17" s="43"/>
    </row>
    <row r="19" spans="1:10" x14ac:dyDescent="0.25">
      <c r="E19" s="43" t="s">
        <v>331</v>
      </c>
      <c r="G19" s="96" t="s">
        <v>332</v>
      </c>
    </row>
    <row r="20" spans="1:10" x14ac:dyDescent="0.25">
      <c r="E20" s="44" t="s">
        <v>328</v>
      </c>
      <c r="F20" s="44">
        <v>902.7</v>
      </c>
    </row>
  </sheetData>
  <hyperlinks>
    <hyperlink ref="H1" r:id="rId1" xr:uid="{00000000-0004-0000-0500-000000000000}"/>
    <hyperlink ref="J11" r:id="rId2" xr:uid="{00000000-0004-0000-0500-000001000000}"/>
    <hyperlink ref="G16" r:id="rId3" xr:uid="{00000000-0004-0000-0500-000002000000}"/>
    <hyperlink ref="G19" r:id="rId4" xr:uid="{00000000-0004-0000-0500-000003000000}"/>
  </hyperlink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MK31"/>
  <sheetViews>
    <sheetView showGridLines="0" zoomScaleNormal="100" workbookViewId="0">
      <selection activeCell="A3" sqref="A3:C3"/>
    </sheetView>
  </sheetViews>
  <sheetFormatPr baseColWidth="10" defaultColWidth="9.140625" defaultRowHeight="15" x14ac:dyDescent="0.25"/>
  <cols>
    <col min="1" max="1" width="37.85546875" style="31" customWidth="1"/>
    <col min="2" max="3" width="20.28515625" style="31" customWidth="1"/>
    <col min="4" max="1025" width="9.140625" style="31"/>
  </cols>
  <sheetData>
    <row r="2" spans="1:4" x14ac:dyDescent="0.25">
      <c r="A2" s="31" t="str">
        <f>Accueil!A41</f>
        <v>MAJ 08/03/2024</v>
      </c>
    </row>
    <row r="3" spans="1:4" ht="15.75" customHeight="1" x14ac:dyDescent="0.25">
      <c r="A3" s="222" t="s">
        <v>424</v>
      </c>
      <c r="B3" s="222"/>
      <c r="C3" s="222"/>
      <c r="D3" s="90" t="s">
        <v>333</v>
      </c>
    </row>
    <row r="4" spans="1:4" x14ac:dyDescent="0.25">
      <c r="A4" s="97"/>
      <c r="B4" s="223" t="s">
        <v>334</v>
      </c>
      <c r="C4" s="223"/>
    </row>
    <row r="5" spans="1:4" s="99" customFormat="1" ht="30" x14ac:dyDescent="0.25">
      <c r="A5" s="98" t="s">
        <v>335</v>
      </c>
      <c r="B5" s="98" t="s">
        <v>134</v>
      </c>
      <c r="C5" s="98" t="s">
        <v>336</v>
      </c>
    </row>
    <row r="6" spans="1:4" x14ac:dyDescent="0.25">
      <c r="A6" s="97">
        <v>3</v>
      </c>
      <c r="B6" s="100">
        <v>115.56</v>
      </c>
      <c r="C6" s="100">
        <v>0.25159999999999999</v>
      </c>
    </row>
    <row r="7" spans="1:4" x14ac:dyDescent="0.25">
      <c r="A7" s="97">
        <v>6</v>
      </c>
      <c r="B7" s="100">
        <v>151.19999999999999</v>
      </c>
      <c r="C7" s="100">
        <f>C6</f>
        <v>0.25159999999999999</v>
      </c>
    </row>
    <row r="8" spans="1:4" x14ac:dyDescent="0.25">
      <c r="A8" s="97">
        <v>9</v>
      </c>
      <c r="B8" s="100">
        <v>189.48</v>
      </c>
      <c r="C8" s="100">
        <f t="shared" ref="C8:C10" si="0">C7</f>
        <v>0.25159999999999999</v>
      </c>
    </row>
    <row r="9" spans="1:4" x14ac:dyDescent="0.25">
      <c r="A9" s="97">
        <v>12</v>
      </c>
      <c r="B9" s="100">
        <v>228.48</v>
      </c>
      <c r="C9" s="100">
        <f t="shared" si="0"/>
        <v>0.25159999999999999</v>
      </c>
    </row>
    <row r="10" spans="1:4" x14ac:dyDescent="0.25">
      <c r="A10" s="97">
        <v>15</v>
      </c>
      <c r="B10" s="100">
        <v>264.83999999999997</v>
      </c>
      <c r="C10" s="100">
        <f t="shared" si="0"/>
        <v>0.25159999999999999</v>
      </c>
    </row>
    <row r="11" spans="1:4" x14ac:dyDescent="0.25">
      <c r="A11" s="101"/>
      <c r="B11" s="101"/>
      <c r="C11" s="101"/>
    </row>
    <row r="13" spans="1:4" x14ac:dyDescent="0.25">
      <c r="A13" s="222" t="s">
        <v>425</v>
      </c>
      <c r="B13" s="222"/>
      <c r="C13" s="222"/>
      <c r="D13" s="90" t="s">
        <v>337</v>
      </c>
    </row>
    <row r="14" spans="1:4" x14ac:dyDescent="0.25">
      <c r="A14" s="97"/>
      <c r="B14" s="224"/>
      <c r="C14" s="224"/>
      <c r="D14" s="146" t="s">
        <v>419</v>
      </c>
    </row>
    <row r="15" spans="1:4" s="99" customFormat="1" ht="30" x14ac:dyDescent="0.25">
      <c r="A15" s="102" t="s">
        <v>338</v>
      </c>
      <c r="B15" s="98" t="s">
        <v>134</v>
      </c>
      <c r="C15" s="98" t="s">
        <v>336</v>
      </c>
    </row>
    <row r="16" spans="1:4" x14ac:dyDescent="0.25">
      <c r="A16" s="135" t="s">
        <v>339</v>
      </c>
      <c r="B16" s="100">
        <v>102.12</v>
      </c>
      <c r="C16" s="100">
        <v>0.12839999999999999</v>
      </c>
    </row>
    <row r="17" spans="1:3" x14ac:dyDescent="0.25">
      <c r="A17" s="103" t="s">
        <v>340</v>
      </c>
      <c r="B17" s="100">
        <f>B16</f>
        <v>102.12</v>
      </c>
      <c r="C17" s="100">
        <f>C16</f>
        <v>0.12839999999999999</v>
      </c>
    </row>
    <row r="18" spans="1:3" x14ac:dyDescent="0.25">
      <c r="A18" s="135" t="s">
        <v>341</v>
      </c>
      <c r="B18" s="100">
        <v>249.84</v>
      </c>
      <c r="C18" s="100">
        <f>0.1035</f>
        <v>0.10349999999999999</v>
      </c>
    </row>
    <row r="21" spans="1:3" x14ac:dyDescent="0.25">
      <c r="A21" s="104" t="s">
        <v>426</v>
      </c>
      <c r="C21" s="90" t="s">
        <v>342</v>
      </c>
    </row>
    <row r="22" spans="1:3" x14ac:dyDescent="0.25">
      <c r="A22" s="97" t="s">
        <v>343</v>
      </c>
      <c r="B22" s="97" t="s">
        <v>344</v>
      </c>
    </row>
    <row r="23" spans="1:3" x14ac:dyDescent="0.25">
      <c r="A23" s="97" t="s">
        <v>292</v>
      </c>
      <c r="B23" s="100">
        <v>4.9000000000000002E-2</v>
      </c>
    </row>
    <row r="24" spans="1:3" x14ac:dyDescent="0.25">
      <c r="A24" s="97" t="s">
        <v>293</v>
      </c>
      <c r="B24" s="100">
        <v>9.1999999999999998E-2</v>
      </c>
    </row>
    <row r="25" spans="1:3" x14ac:dyDescent="0.25">
      <c r="A25" s="97" t="s">
        <v>41</v>
      </c>
      <c r="B25" s="100">
        <v>0.13700000000000001</v>
      </c>
    </row>
    <row r="26" spans="1:3" x14ac:dyDescent="0.25">
      <c r="A26" s="97" t="s">
        <v>345</v>
      </c>
      <c r="B26" s="147">
        <f>38/178</f>
        <v>0.21348314606741572</v>
      </c>
      <c r="C26" s="31" t="s">
        <v>420</v>
      </c>
    </row>
    <row r="31" spans="1:3" ht="30" customHeight="1" x14ac:dyDescent="0.25"/>
  </sheetData>
  <mergeCells count="4">
    <mergeCell ref="A3:C3"/>
    <mergeCell ref="B4:C4"/>
    <mergeCell ref="A13:C13"/>
    <mergeCell ref="B14:C14"/>
  </mergeCells>
  <hyperlinks>
    <hyperlink ref="D3" r:id="rId1" xr:uid="{00000000-0004-0000-0600-000000000000}"/>
    <hyperlink ref="D13" r:id="rId2" xr:uid="{00000000-0004-0000-0600-000001000000}"/>
    <hyperlink ref="D14" r:id="rId3" xr:uid="{00000000-0004-0000-0600-000003000000}"/>
    <hyperlink ref="C21" r:id="rId4" xr:uid="{253A5530-6885-4347-B85D-93F925AD9CB1}"/>
  </hyperlinks>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9"/>
  <sheetViews>
    <sheetView zoomScaleNormal="100" workbookViewId="0">
      <selection activeCell="J14" sqref="J14"/>
    </sheetView>
  </sheetViews>
  <sheetFormatPr baseColWidth="10" defaultColWidth="9.140625" defaultRowHeight="15" x14ac:dyDescent="0.25"/>
  <cols>
    <col min="1" max="1025" width="10.7109375" customWidth="1"/>
  </cols>
  <sheetData>
    <row r="1" spans="1:1" x14ac:dyDescent="0.25">
      <c r="A1" s="105" t="s">
        <v>346</v>
      </c>
    </row>
    <row r="2" spans="1:1" x14ac:dyDescent="0.25">
      <c r="A2" s="106" t="s">
        <v>347</v>
      </c>
    </row>
    <row r="4" spans="1:1" x14ac:dyDescent="0.25">
      <c r="A4" s="105" t="s">
        <v>348</v>
      </c>
    </row>
    <row r="5" spans="1:1" x14ac:dyDescent="0.25">
      <c r="A5" s="96" t="s">
        <v>349</v>
      </c>
    </row>
    <row r="7" spans="1:1" x14ac:dyDescent="0.25">
      <c r="A7" s="105" t="s">
        <v>350</v>
      </c>
    </row>
    <row r="8" spans="1:1" x14ac:dyDescent="0.25">
      <c r="A8" s="96" t="s">
        <v>351</v>
      </c>
    </row>
    <row r="9" spans="1:1" x14ac:dyDescent="0.25">
      <c r="A9" t="s">
        <v>352</v>
      </c>
    </row>
  </sheetData>
  <hyperlinks>
    <hyperlink ref="A5" r:id="rId1" xr:uid="{00000000-0004-0000-0700-000000000000}"/>
    <hyperlink ref="A8" r:id="rId2" xr:uid="{00000000-0004-0000-0700-000001000000}"/>
  </hyperlink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41</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13</vt:i4>
      </vt:variant>
    </vt:vector>
  </HeadingPairs>
  <TitlesOfParts>
    <vt:vector size="21" baseType="lpstr">
      <vt:lpstr>Accueil</vt:lpstr>
      <vt:lpstr>Saisie Bât neuf</vt:lpstr>
      <vt:lpstr>Résultat Bât neuf</vt:lpstr>
      <vt:lpstr>calculs Bât neuf</vt:lpstr>
      <vt:lpstr>Cheque Energie</vt:lpstr>
      <vt:lpstr>Ressources</vt:lpstr>
      <vt:lpstr>Référence&amp;tarifs</vt:lpstr>
      <vt:lpstr>FAQ Excel</vt:lpstr>
      <vt:lpstr>cuisson</vt:lpstr>
      <vt:lpstr>mitoyennete</vt:lpstr>
      <vt:lpstr>naturerevenu</vt:lpstr>
      <vt:lpstr>typechauffage</vt:lpstr>
      <vt:lpstr>typedelogement</vt:lpstr>
      <vt:lpstr>typeecs</vt:lpstr>
      <vt:lpstr>typeiso</vt:lpstr>
      <vt:lpstr>typereno</vt:lpstr>
      <vt:lpstr>ventilation</vt:lpstr>
      <vt:lpstr>VILLE</vt:lpstr>
      <vt:lpstr>Accueil!Zone_d_impression</vt:lpstr>
      <vt:lpstr>'Résultat Bât neuf'!Zone_d_impression</vt:lpstr>
      <vt:lpstr>'Saisie Bât neuf'!Zone_d_impression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GARNIER</dc:creator>
  <dc:description/>
  <cp:lastModifiedBy>Julie COURBIN</cp:lastModifiedBy>
  <cp:revision>7</cp:revision>
  <cp:lastPrinted>2020-01-30T08:15:02Z</cp:lastPrinted>
  <dcterms:created xsi:type="dcterms:W3CDTF">2012-09-17T11:38:36Z</dcterms:created>
  <dcterms:modified xsi:type="dcterms:W3CDTF">2024-05-06T14:32:23Z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Microsoft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